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3500" windowHeight="105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<sst xmlns="http://schemas.openxmlformats.org/spreadsheetml/2006/main" count="166" uniqueCount="113">
  <si>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</si>
  <si>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</si>
  <si>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</si>
  <si>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</si>
  <si>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</si>
  <si>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</si>
  <si>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</si>
  <si>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</si>
  <si>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</si>
  <si>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</si>
  <si>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</si>
  <si>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</si>
  <si>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</si>
  <si>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</si>
  <si>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</si>
  <si>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</si>
  <si>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</si>
  <si>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</si>
  <si>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</si>
  <si>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</si>
  <si>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</si>
  <si>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</si>
  <si>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</si>
  <si>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</si>
  <si>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</si>
  <si>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</si>
  <si>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</si>
  <si>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</si>
  <si>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</si>
  <si>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</si>
  <si>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</si>
  <si>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</si>
  <si>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</si>
  <si>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</si>
  <si>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</si>
  <si>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</si>
  <si>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</si>
  <si>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</si>
  <si>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</si>
  <si>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</si>
  <si>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</si>
  <si>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</si>
  <si>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</si>
  <si>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</si>
  <si>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</si>
  <si>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</si>
  <si>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</si>
  <si>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</si>
  <si>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</si>
  <si>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</si>
  <si>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</si>
  <si>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</si>
  <si>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</si>
  <si>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</si>
  <si>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</si>
  <si>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</si>
  <si>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</si>
  <si>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</si>
  <si>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</si>
  <si>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</si>
  <si>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</si>
  <si>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</si>
  <si>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</si>
  <si>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</si>
  <si>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</si>
  <si>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</si>
  <si>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</si>
  <si>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</si>
  <si>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</si>
  <si>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</si>
  <si>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</si>
  <si>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</si>
  <si>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</si>
  <si>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</si>
  <si>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</si>
  <si>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</si>
  <si>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</si>
  <si>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</si>
  <si>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</si>
  <si>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</si>
  <si>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</si>
  <si>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</si>
  <si>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</si>
  <si>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</si>
  <si>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</si>
  <si>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</si>
  <si>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</si>
  <si>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</si>
  <si>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</si>
  <si>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</si>
  <si>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</si>
  <si>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</si>
  <si>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</si>
  <si>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</si>
  <si>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</si>
  <si>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</si>
  <si>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</si>
  <si>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</si>
  <si>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</si>
  <si>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</si>
  <si>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</si>
  <si>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</si>
  <si>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</si>
  <si>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</si>
  <si>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</si>
  <si>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</si>
  <si>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</si>
  <si>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</si>
  <si>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</si>
  <si>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8 місяців, тис.грн.</t>
  </si>
  <si>
    <t>Відсоток виконання  плану 8 місяців</t>
  </si>
  <si>
    <t>Відхилення від  плану 8 місяців, тис.грн.</t>
  </si>
  <si>
    <t>Аналіз використання коштів загального фонду міського бюджету станом на 22.08.2018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</si>
</sst>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131179.99999999994</c:v>
                </c:pt>
                <c:pt idx="1">
                  <c:v>123974.40999999999</c:v>
                </c:pt>
                <c:pt idx="2">
                  <c:v>1389.6000000000001</c:v>
                </c:pt>
                <c:pt idx="3">
                  <c:v>5815.9899999999525</c:v>
                </c:pt>
              </c:numCache>
            </c:numRef>
          </c:val>
          <c:shape val="box"/>
        </c:ser>
        <c:shape val="box"/>
        <c:axId val="17342074"/>
        <c:axId val="21860939"/>
      </c:bar3D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60939"/>
        <c:crosses val="autoZero"/>
        <c:auto val="1"/>
        <c:lblOffset val="100"/>
        <c:tickLblSkip val="1"/>
        <c:noMultiLvlLbl val="0"/>
      </c:catAx>
      <c:valAx>
        <c:axId val="21860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42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490447.4</c:v>
                </c:pt>
                <c:pt idx="1">
                  <c:v>165555.3</c:v>
                </c:pt>
                <c:pt idx="2">
                  <c:v>400144.5000000002</c:v>
                </c:pt>
                <c:pt idx="3">
                  <c:v>21.3</c:v>
                </c:pt>
                <c:pt idx="4">
                  <c:v>18874.899999999998</c:v>
                </c:pt>
                <c:pt idx="5">
                  <c:v>52455.69999999998</c:v>
                </c:pt>
                <c:pt idx="6">
                  <c:v>7578.099999999999</c:v>
                </c:pt>
                <c:pt idx="7">
                  <c:v>11372.89999999987</c:v>
                </c:pt>
              </c:numCache>
            </c:numRef>
          </c:val>
          <c:shape val="box"/>
        </c:ser>
        <c:shape val="box"/>
        <c:axId val="62530724"/>
        <c:axId val="25905605"/>
      </c:bar3D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05605"/>
        <c:crosses val="autoZero"/>
        <c:auto val="1"/>
        <c:lblOffset val="100"/>
        <c:tickLblSkip val="1"/>
        <c:noMultiLvlLbl val="0"/>
      </c:catAx>
      <c:valAx>
        <c:axId val="25905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0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245478.9</c:v>
                </c:pt>
                <c:pt idx="1">
                  <c:v>159028.50000000003</c:v>
                </c:pt>
                <c:pt idx="2">
                  <c:v>245478.9</c:v>
                </c:pt>
              </c:numCache>
            </c:numRef>
          </c:val>
          <c:shape val="box"/>
        </c:ser>
        <c:shape val="box"/>
        <c:axId val="31823854"/>
        <c:axId val="17979231"/>
      </c:bar3D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79231"/>
        <c:crosses val="autoZero"/>
        <c:auto val="1"/>
        <c:lblOffset val="100"/>
        <c:tickLblSkip val="1"/>
        <c:noMultiLvlLbl val="0"/>
      </c:catAx>
      <c:valAx>
        <c:axId val="17979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3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13828.3</c:v>
                </c:pt>
                <c:pt idx="1">
                  <c:v>7858.600000000001</c:v>
                </c:pt>
                <c:pt idx="2">
                  <c:v>59.6</c:v>
                </c:pt>
                <c:pt idx="3">
                  <c:v>1003.5999999999998</c:v>
                </c:pt>
                <c:pt idx="4">
                  <c:v>328.69999999999993</c:v>
                </c:pt>
                <c:pt idx="5">
                  <c:v>34.2</c:v>
                </c:pt>
                <c:pt idx="6">
                  <c:v>4543.5999999999985</c:v>
                </c:pt>
              </c:numCache>
            </c:numRef>
          </c:val>
          <c:shape val="box"/>
        </c:ser>
        <c:shape val="box"/>
        <c:axId val="27595352"/>
        <c:axId val="47031577"/>
      </c:bar3D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5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19461.1</c:v>
                </c:pt>
                <c:pt idx="1">
                  <c:v>11453.1</c:v>
                </c:pt>
                <c:pt idx="3">
                  <c:v>518.8</c:v>
                </c:pt>
                <c:pt idx="4">
                  <c:v>514.5000000000001</c:v>
                </c:pt>
                <c:pt idx="5">
                  <c:v>880</c:v>
                </c:pt>
                <c:pt idx="6">
                  <c:v>6094.699999999998</c:v>
                </c:pt>
              </c:numCache>
            </c:numRef>
          </c:val>
          <c:shape val="box"/>
        </c:ser>
        <c:shape val="box"/>
        <c:axId val="20631010"/>
        <c:axId val="51461363"/>
      </c:bar3D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61363"/>
        <c:crosses val="autoZero"/>
        <c:auto val="1"/>
        <c:lblOffset val="100"/>
        <c:tickLblSkip val="2"/>
        <c:noMultiLvlLbl val="0"/>
      </c:catAx>
      <c:valAx>
        <c:axId val="51461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1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3178.4</c:v>
                </c:pt>
                <c:pt idx="1">
                  <c:v>1845.8000000000004</c:v>
                </c:pt>
                <c:pt idx="2">
                  <c:v>391.1</c:v>
                </c:pt>
                <c:pt idx="3">
                  <c:v>224.39999999999992</c:v>
                </c:pt>
                <c:pt idx="4">
                  <c:v>419.5</c:v>
                </c:pt>
                <c:pt idx="5">
                  <c:v>297.5999999999998</c:v>
                </c:pt>
              </c:numCache>
            </c:numRef>
          </c:val>
          <c:shape val="box"/>
        </c:ser>
        <c:shape val="box"/>
        <c:axId val="60499084"/>
        <c:axId val="7620845"/>
      </c:bar3D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9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24873.099999999995</c:v>
                </c:pt>
              </c:numCache>
            </c:numRef>
          </c:val>
          <c:shape val="box"/>
        </c:ser>
        <c:shape val="box"/>
        <c:axId val="1478742"/>
        <c:axId val="13308679"/>
      </c:bar3DChart>
      <c:catAx>
        <c:axId val="147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8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490447.4</c:v>
                </c:pt>
                <c:pt idx="1">
                  <c:v>245478.9</c:v>
                </c:pt>
                <c:pt idx="2">
                  <c:v>13828.3</c:v>
                </c:pt>
                <c:pt idx="3">
                  <c:v>19461.1</c:v>
                </c:pt>
                <c:pt idx="4">
                  <c:v>3178.4</c:v>
                </c:pt>
                <c:pt idx="5">
                  <c:v>131179.99999999994</c:v>
                </c:pt>
                <c:pt idx="6">
                  <c:v>24873.099999999995</c:v>
                </c:pt>
              </c:numCache>
            </c:numRef>
          </c:val>
          <c:shape val="box"/>
        </c:ser>
        <c:shape val="box"/>
        <c:axId val="52669248"/>
        <c:axId val="4261185"/>
      </c:bar3D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553980.41</c:v>
                </c:pt>
                <c:pt idx="1">
                  <c:v>64175.299999999974</c:v>
                </c:pt>
                <c:pt idx="2">
                  <c:v>19885.899999999994</c:v>
                </c:pt>
                <c:pt idx="3">
                  <c:v>16383.500000000004</c:v>
                </c:pt>
                <c:pt idx="4">
                  <c:v>21.3</c:v>
                </c:pt>
                <c:pt idx="5">
                  <c:v>553668.8900000002</c:v>
                </c:pt>
              </c:numCache>
            </c:numRef>
          </c:val>
          <c:shape val="box"/>
        </c:ser>
        <c:shape val="box"/>
        <c:axId val="38350666"/>
        <c:axId val="9611675"/>
      </c:bar3D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11675"/>
        <c:crosses val="autoZero"/>
        <c:auto val="1"/>
        <c:lblOffset val="100"/>
        <c:tickLblSkip val="1"/>
        <c:noMultiLvlLbl val="0"/>
      </c:catAx>
      <c:valAx>
        <c:axId val="9611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0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46" sqref="M146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2" t="s">
        <v>112</v>
      </c>
      <c r="B1" s="172"/>
      <c r="C1" s="172"/>
      <c r="D1" s="172"/>
      <c r="E1" s="172"/>
      <c r="F1" s="172"/>
      <c r="G1" s="172"/>
      <c r="H1" s="172"/>
      <c r="I1" s="172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6" t="s">
        <v>40</v>
      </c>
      <c r="B3" s="179" t="s">
        <v>109</v>
      </c>
      <c r="C3" s="173" t="s">
        <v>106</v>
      </c>
      <c r="D3" s="173" t="s">
        <v>22</v>
      </c>
      <c r="E3" s="173" t="s">
        <v>21</v>
      </c>
      <c r="F3" s="173" t="s">
        <v>110</v>
      </c>
      <c r="G3" s="173" t="s">
        <v>107</v>
      </c>
      <c r="H3" s="173" t="s">
        <v>111</v>
      </c>
      <c r="I3" s="173" t="s">
        <v>108</v>
      </c>
    </row>
    <row r="4" spans="1:9" ht="24.75" customHeight="1">
      <c r="A4" s="177"/>
      <c r="B4" s="180"/>
      <c r="C4" s="174"/>
      <c r="D4" s="174"/>
      <c r="E4" s="174"/>
      <c r="F4" s="174"/>
      <c r="G4" s="174"/>
      <c r="H4" s="174"/>
      <c r="I4" s="174"/>
    </row>
    <row r="5" spans="1:10" ht="39" customHeight="1" thickBot="1">
      <c r="A5" s="178"/>
      <c r="B5" s="181"/>
      <c r="C5" s="175"/>
      <c r="D5" s="175"/>
      <c r="E5" s="175"/>
      <c r="F5" s="175"/>
      <c r="G5" s="175"/>
      <c r="H5" s="175"/>
      <c r="I5" s="175"/>
      <c r="J5" s="94"/>
    </row>
    <row r="6" spans="1:11" ht="18.75" thickBot="1">
      <c r="A6" s="20" t="s">
        <v>26</v>
      </c>
      <c r="B6" s="39">
        <v>548666.3</v>
      </c>
      <c r="C6" s="40">
        <f>826775+13431.5+510-13431.5+16-2334+20.8</f>
        <v>824987.8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</f>
        <v>490447.4</v>
      </c>
      <c r="E6" s="3">
        <f>D6/D154*100</f>
        <v>40.59607555669562</v>
      </c>
      <c r="F6" s="3">
        <f>D6/B6*100</f>
        <v>89.38901478002202</v>
      </c>
      <c r="G6" s="3">
        <f aca="true" t="shared" si="0" ref="G6:G43">D6/C6*100</f>
        <v>59.44904882229773</v>
      </c>
      <c r="H6" s="41">
        <f>B6-D6</f>
        <v>58218.90000000002</v>
      </c>
      <c r="I6" s="41">
        <f aca="true" t="shared" si="1" ref="I6:I43">C6-D6</f>
        <v>334540.4</v>
      </c>
      <c r="J6" s="167"/>
      <c r="K6" s="154"/>
    </row>
    <row r="7" spans="1:12" s="95" customFormat="1" ht="18.75">
      <c r="A7" s="141" t="s">
        <v>81</v>
      </c>
      <c r="B7" s="142">
        <v>181800.7</v>
      </c>
      <c r="C7" s="143">
        <v>262517.6</v>
      </c>
      <c r="D7" s="144">
        <f>8282.7+10875.2+9132.6+9963.6+4.3+9215.1+9968.6+9459.9+11450.4+9572.3+23759.4-0.1+3644+36528.9+8511.9+179.9+764+816.4+0.1+3426.1</f>
        <v>165555.3</v>
      </c>
      <c r="E7" s="145">
        <f>D7/D6*100</f>
        <v>33.755974646822466</v>
      </c>
      <c r="F7" s="145">
        <f>D7/B7*100</f>
        <v>91.06417082002434</v>
      </c>
      <c r="G7" s="145">
        <f>D7/C7*100</f>
        <v>63.064457392571015</v>
      </c>
      <c r="H7" s="144">
        <f>B7-D7</f>
        <v>16245.400000000023</v>
      </c>
      <c r="I7" s="144">
        <f t="shared" si="1"/>
        <v>96962.29999999999</v>
      </c>
      <c r="J7" s="169"/>
      <c r="K7" s="154"/>
      <c r="L7" s="140"/>
    </row>
    <row r="8" spans="1:12" s="94" customFormat="1" ht="18">
      <c r="A8" s="103" t="s">
        <v>3</v>
      </c>
      <c r="B8" s="127">
        <f>440014.4+155.1</f>
        <v>440169.5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</f>
        <v>400144.5000000002</v>
      </c>
      <c r="E8" s="107">
        <f>D8/D6*100</f>
        <v>81.58764833904719</v>
      </c>
      <c r="F8" s="107">
        <f>D8/B8*100</f>
        <v>90.90691199640143</v>
      </c>
      <c r="G8" s="107">
        <f t="shared" si="0"/>
        <v>61.03137191380482</v>
      </c>
      <c r="H8" s="105">
        <f>B8-D8</f>
        <v>40024.999999999825</v>
      </c>
      <c r="I8" s="105">
        <f t="shared" si="1"/>
        <v>255492.89999999985</v>
      </c>
      <c r="J8" s="167"/>
      <c r="K8" s="154"/>
      <c r="L8" s="140"/>
    </row>
    <row r="9" spans="1:12" s="94" customFormat="1" ht="18">
      <c r="A9" s="103" t="s">
        <v>2</v>
      </c>
      <c r="B9" s="127">
        <v>30.8</v>
      </c>
      <c r="C9" s="128">
        <v>97.7</v>
      </c>
      <c r="D9" s="105">
        <f>3.4+5.4+0.8+4.1+3.6+0.3+0.3+3.4</f>
        <v>21.3</v>
      </c>
      <c r="E9" s="129">
        <f>D9/D6*100</f>
        <v>0.00434297337492257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J9" s="167"/>
      <c r="K9" s="154"/>
      <c r="L9" s="140"/>
    </row>
    <row r="10" spans="1:12" s="94" customFormat="1" ht="18">
      <c r="A10" s="103" t="s">
        <v>1</v>
      </c>
      <c r="B10" s="127">
        <f>27212.5-155.1</f>
        <v>27057.4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</f>
        <v>18874.899999999998</v>
      </c>
      <c r="E10" s="107">
        <f>D10/D6*100</f>
        <v>3.848506486118592</v>
      </c>
      <c r="F10" s="107">
        <f aca="true" t="shared" si="3" ref="F10:F41">D10/B10*100</f>
        <v>69.75873513345701</v>
      </c>
      <c r="G10" s="107">
        <f t="shared" si="0"/>
        <v>42.52866052598373</v>
      </c>
      <c r="H10" s="105">
        <f t="shared" si="2"/>
        <v>8182.500000000004</v>
      </c>
      <c r="I10" s="105">
        <f t="shared" si="1"/>
        <v>25506.700000000008</v>
      </c>
      <c r="J10" s="167"/>
      <c r="K10" s="154"/>
      <c r="L10" s="140"/>
    </row>
    <row r="11" spans="1:12" s="94" customFormat="1" ht="18">
      <c r="A11" s="103" t="s">
        <v>0</v>
      </c>
      <c r="B11" s="127">
        <v>53836.4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</f>
        <v>52455.69999999998</v>
      </c>
      <c r="E11" s="107">
        <f>D11/D6*100</f>
        <v>10.695479270559897</v>
      </c>
      <c r="F11" s="107">
        <f t="shared" si="3"/>
        <v>97.43537829423956</v>
      </c>
      <c r="G11" s="107">
        <f t="shared" si="0"/>
        <v>59.492199373046425</v>
      </c>
      <c r="H11" s="105">
        <f t="shared" si="2"/>
        <v>1380.700000000019</v>
      </c>
      <c r="I11" s="105">
        <f t="shared" si="1"/>
        <v>35716.70000000001</v>
      </c>
      <c r="J11" s="167"/>
      <c r="K11" s="154"/>
      <c r="L11" s="140"/>
    </row>
    <row r="12" spans="1:12" s="94" customFormat="1" ht="18">
      <c r="A12" s="103" t="s">
        <v>14</v>
      </c>
      <c r="B12" s="127">
        <v>8087.4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874.5+251.8+346.3+159.7+538.5+10.6+57+168.9+31.7+165.3+10.6+439.5+199.1+10.6+10.6+19+325.9+10.6+160.6+453.5-0.1+21.1+21.1+563.9+19+160.9+282.3+19+21.1+523.5+168.9+208.4+214.2+11+120.2+238.1+77.3+88.4+143.6+33.1+97.5+90.7+11+91.4+97.6+10.6</f>
        <v>7578.099999999999</v>
      </c>
      <c r="E12" s="107">
        <f>D12/D6*100</f>
        <v>1.5451402127934615</v>
      </c>
      <c r="F12" s="107">
        <f t="shared" si="3"/>
        <v>93.702549645127</v>
      </c>
      <c r="G12" s="107">
        <f t="shared" si="0"/>
        <v>59.49207096875491</v>
      </c>
      <c r="H12" s="105">
        <f>B12-D12</f>
        <v>509.3000000000002</v>
      </c>
      <c r="I12" s="105">
        <f t="shared" si="1"/>
        <v>5159.900000000001</v>
      </c>
      <c r="J12" s="167"/>
      <c r="K12" s="154"/>
      <c r="L12" s="140"/>
    </row>
    <row r="13" spans="1:12" s="94" customFormat="1" ht="18.75" thickBot="1">
      <c r="A13" s="103" t="s">
        <v>27</v>
      </c>
      <c r="B13" s="128">
        <f>B6-B8-B9-B10-B11-B12</f>
        <v>19484.800000000032</v>
      </c>
      <c r="C13" s="128">
        <f>C6-C8-C9-C10-C11-C12</f>
        <v>23960.70000000001</v>
      </c>
      <c r="D13" s="128">
        <f>D6-D8-D9-D10-D11-D12</f>
        <v>11372.89999999987</v>
      </c>
      <c r="E13" s="107">
        <f>D13/D6*100</f>
        <v>2.3188827181059315</v>
      </c>
      <c r="F13" s="107">
        <f t="shared" si="3"/>
        <v>58.368061258005476</v>
      </c>
      <c r="G13" s="107">
        <f t="shared" si="0"/>
        <v>47.464806954721126</v>
      </c>
      <c r="H13" s="105">
        <f t="shared" si="2"/>
        <v>8111.9000000001615</v>
      </c>
      <c r="I13" s="105">
        <f t="shared" si="1"/>
        <v>12587.800000000141</v>
      </c>
      <c r="J13" s="167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9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9"/>
      <c r="K15" s="11"/>
      <c r="L15" s="11"/>
      <c r="M15" s="11"/>
    </row>
    <row r="16" spans="1:13" s="32" customFormat="1" ht="19.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9"/>
      <c r="K16" s="11"/>
      <c r="L16" s="11"/>
      <c r="M16" s="11"/>
    </row>
    <row r="17" spans="1:13" s="32" customFormat="1" ht="19.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9"/>
      <c r="K17" s="11"/>
      <c r="L17" s="11"/>
      <c r="M17" s="11"/>
    </row>
    <row r="18" spans="1:11" ht="18.75" thickBot="1">
      <c r="A18" s="20" t="s">
        <v>19</v>
      </c>
      <c r="B18" s="39">
        <v>271713.4</v>
      </c>
      <c r="C18" s="40">
        <f>424151.5+750.3+185.6</f>
        <v>425087.39999999997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</f>
        <v>245478.9</v>
      </c>
      <c r="E18" s="3">
        <f>D18/D154*100</f>
        <v>20.31916158995751</v>
      </c>
      <c r="F18" s="3">
        <f>D18/B18*100</f>
        <v>90.34478976745349</v>
      </c>
      <c r="G18" s="3">
        <f t="shared" si="0"/>
        <v>57.74786549777764</v>
      </c>
      <c r="H18" s="41">
        <f>B18-D18</f>
        <v>26234.50000000003</v>
      </c>
      <c r="I18" s="41">
        <f t="shared" si="1"/>
        <v>179608.49999999997</v>
      </c>
      <c r="J18" s="167"/>
      <c r="K18" s="154"/>
    </row>
    <row r="19" spans="1:13" s="95" customFormat="1" ht="18.75">
      <c r="A19" s="141" t="s">
        <v>82</v>
      </c>
      <c r="B19" s="142">
        <v>164342.7</v>
      </c>
      <c r="C19" s="143">
        <f>226186+750.3+185.6</f>
        <v>227121.9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</f>
        <v>159028.50000000003</v>
      </c>
      <c r="E19" s="145">
        <f>D19/D18*100</f>
        <v>64.78296097953837</v>
      </c>
      <c r="F19" s="145">
        <f t="shared" si="3"/>
        <v>96.76639120569396</v>
      </c>
      <c r="G19" s="145">
        <f t="shared" si="0"/>
        <v>70.01900741408029</v>
      </c>
      <c r="H19" s="144">
        <f t="shared" si="2"/>
        <v>5314.1999999999825</v>
      </c>
      <c r="I19" s="144">
        <f t="shared" si="1"/>
        <v>68093.39999999997</v>
      </c>
      <c r="J19" s="169"/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67"/>
      <c r="K20" s="154">
        <f>C20-B20</f>
        <v>0</v>
      </c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67"/>
      <c r="K21" s="154">
        <f>C21-B21</f>
        <v>0</v>
      </c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67"/>
      <c r="K22" s="154">
        <f>C22-B22</f>
        <v>0</v>
      </c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67"/>
      <c r="K23" s="154">
        <f>C23-B23</f>
        <v>0</v>
      </c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67"/>
      <c r="K24" s="154">
        <f>C24-B24</f>
        <v>0</v>
      </c>
    </row>
    <row r="25" spans="1:11" s="94" customFormat="1" ht="18.75" thickBot="1">
      <c r="A25" s="103" t="s">
        <v>27</v>
      </c>
      <c r="B25" s="128">
        <f>B18</f>
        <v>271713.4</v>
      </c>
      <c r="C25" s="128">
        <f>C18</f>
        <v>425087.39999999997</v>
      </c>
      <c r="D25" s="128">
        <f>D18</f>
        <v>245478.9</v>
      </c>
      <c r="E25" s="107">
        <f>D25/D18*100</f>
        <v>100</v>
      </c>
      <c r="F25" s="107">
        <f t="shared" si="3"/>
        <v>90.34478976745349</v>
      </c>
      <c r="G25" s="107">
        <f t="shared" si="0"/>
        <v>57.74786549777764</v>
      </c>
      <c r="H25" s="105">
        <f t="shared" si="2"/>
        <v>26234.50000000003</v>
      </c>
      <c r="I25" s="105">
        <f t="shared" si="1"/>
        <v>179608.49999999997</v>
      </c>
      <c r="J25" s="167"/>
      <c r="K25" s="154"/>
    </row>
    <row r="26" spans="1:11" ht="57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7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7"/>
      <c r="K27" s="154">
        <f t="shared" si="4"/>
        <v>0</v>
      </c>
    </row>
    <row r="28" spans="1:11" ht="19.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7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7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7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7"/>
      <c r="K31" s="154">
        <f t="shared" si="4"/>
        <v>0</v>
      </c>
    </row>
    <row r="32" spans="1:11" ht="19.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7"/>
      <c r="K32" s="154">
        <f t="shared" si="4"/>
        <v>0</v>
      </c>
    </row>
    <row r="33" spans="1:11" ht="18.75" thickBot="1">
      <c r="A33" s="20" t="s">
        <v>17</v>
      </c>
      <c r="B33" s="39">
        <v>15996.6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</f>
        <v>13828.3</v>
      </c>
      <c r="E33" s="3">
        <f>D33/D154*100</f>
        <v>1.1446175708560264</v>
      </c>
      <c r="F33" s="3">
        <f>D33/B33*100</f>
        <v>86.44524461448057</v>
      </c>
      <c r="G33" s="3">
        <f t="shared" si="0"/>
        <v>55.78649260324594</v>
      </c>
      <c r="H33" s="41">
        <f t="shared" si="2"/>
        <v>2168.300000000001</v>
      </c>
      <c r="I33" s="41">
        <f t="shared" si="1"/>
        <v>10959.599999999999</v>
      </c>
      <c r="J33" s="170"/>
      <c r="K33" s="154"/>
    </row>
    <row r="34" spans="1:11" s="94" customFormat="1" ht="18">
      <c r="A34" s="103" t="s">
        <v>3</v>
      </c>
      <c r="B34" s="127">
        <v>8702.6</v>
      </c>
      <c r="C34" s="128">
        <v>12906.6</v>
      </c>
      <c r="D34" s="105">
        <f>364.6+548.1+389.3+522.2+63+395+556.7+63+391.3+512.8+63+394.6+664.3+89.8+0.3+456.7+632.3+12+89.8+485+19+3.6+623.1+89.8+9.9+419.4</f>
        <v>7858.600000000001</v>
      </c>
      <c r="E34" s="107">
        <f>D34/D33*100</f>
        <v>56.82983446989147</v>
      </c>
      <c r="F34" s="107">
        <f t="shared" si="3"/>
        <v>90.30174890262681</v>
      </c>
      <c r="G34" s="107">
        <f t="shared" si="0"/>
        <v>60.88822772844902</v>
      </c>
      <c r="H34" s="105">
        <f t="shared" si="2"/>
        <v>843.9999999999991</v>
      </c>
      <c r="I34" s="105">
        <f t="shared" si="1"/>
        <v>5047.999999999999</v>
      </c>
      <c r="J34" s="167"/>
      <c r="K34" s="154"/>
    </row>
    <row r="35" spans="1:11" s="94" customFormat="1" ht="18">
      <c r="A35" s="103" t="s">
        <v>1</v>
      </c>
      <c r="B35" s="127">
        <v>59.646</v>
      </c>
      <c r="C35" s="128">
        <v>81.1</v>
      </c>
      <c r="D35" s="105">
        <f>6.8+8.7+11.6+32.5</f>
        <v>59.6</v>
      </c>
      <c r="E35" s="107">
        <f>D35/D33*100</f>
        <v>0.43100019525176636</v>
      </c>
      <c r="F35" s="107">
        <f t="shared" si="3"/>
        <v>99.92287831539416</v>
      </c>
      <c r="G35" s="107">
        <f t="shared" si="0"/>
        <v>73.48951911220716</v>
      </c>
      <c r="H35" s="105">
        <f t="shared" si="2"/>
        <v>0.045999999999999375</v>
      </c>
      <c r="I35" s="105">
        <f t="shared" si="1"/>
        <v>21.499999999999993</v>
      </c>
      <c r="J35" s="167"/>
      <c r="K35" s="154"/>
    </row>
    <row r="36" spans="1:11" s="94" customFormat="1" ht="18">
      <c r="A36" s="103" t="s">
        <v>0</v>
      </c>
      <c r="B36" s="127">
        <v>1055.7</v>
      </c>
      <c r="C36" s="128">
        <v>1783</v>
      </c>
      <c r="D36" s="105">
        <f>0.3+11.3+141.7+12.6+0.9+12.9+1.3+0.5+169.4+1.1+0.1+0.4+11.3+166.1+3.8+5.1+2.9+0.2+0.5+11.9+319.9+44.3+12.2+0.9-0.2+8.4+29.5+8.6+0.2+7.6+0.4+4.3+0.1+0.3+7.8+4.8+0.2</f>
        <v>1003.5999999999998</v>
      </c>
      <c r="E36" s="107">
        <f>D36/D33*100</f>
        <v>7.257580469038132</v>
      </c>
      <c r="F36" s="107">
        <f t="shared" si="3"/>
        <v>95.06488585772472</v>
      </c>
      <c r="G36" s="107">
        <f t="shared" si="0"/>
        <v>56.28715647784631</v>
      </c>
      <c r="H36" s="105">
        <f t="shared" si="2"/>
        <v>52.10000000000025</v>
      </c>
      <c r="I36" s="105">
        <f t="shared" si="1"/>
        <v>779.4000000000002</v>
      </c>
      <c r="J36" s="167"/>
      <c r="K36" s="154"/>
    </row>
    <row r="37" spans="1:12" s="95" customFormat="1" ht="18.75">
      <c r="A37" s="118" t="s">
        <v>7</v>
      </c>
      <c r="B37" s="138">
        <v>536.5</v>
      </c>
      <c r="C37" s="139">
        <v>1008</v>
      </c>
      <c r="D37" s="109">
        <f>44.8+25.1+1.6+0.5+2.7+1+6.3+8.5+2.5+36.6+1.5+4.5+23.6+4.1+106.1+32.6+9.7+2.5+4.3+1.9+2.2+5.9+0.2</f>
        <v>328.69999999999993</v>
      </c>
      <c r="E37" s="113">
        <f>D37/D33*100</f>
        <v>2.3770094660948917</v>
      </c>
      <c r="F37" s="113">
        <f t="shared" si="3"/>
        <v>61.267474370922635</v>
      </c>
      <c r="G37" s="113">
        <f t="shared" si="0"/>
        <v>32.60912698412698</v>
      </c>
      <c r="H37" s="109">
        <f t="shared" si="2"/>
        <v>207.80000000000007</v>
      </c>
      <c r="I37" s="109">
        <f t="shared" si="1"/>
        <v>679.3000000000001</v>
      </c>
      <c r="J37" s="169"/>
      <c r="K37" s="154"/>
      <c r="L37" s="140"/>
    </row>
    <row r="38" spans="1:11" s="94" customFormat="1" ht="18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0.24731890398675183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J38" s="167"/>
      <c r="K38" s="154"/>
    </row>
    <row r="39" spans="1:11" s="94" customFormat="1" ht="18.75" thickBot="1">
      <c r="A39" s="103" t="s">
        <v>27</v>
      </c>
      <c r="B39" s="127">
        <f>B33-B34-B36-B37-B35-B38</f>
        <v>5607.954000000001</v>
      </c>
      <c r="C39" s="127">
        <f>C33-C34-C36-C37-C35-C38</f>
        <v>8919.699999999997</v>
      </c>
      <c r="D39" s="127">
        <f>D33-D34-D36-D37-D35-D38</f>
        <v>4543.5999999999985</v>
      </c>
      <c r="E39" s="107">
        <f>D39/D33*100</f>
        <v>32.85725649573699</v>
      </c>
      <c r="F39" s="107">
        <f t="shared" si="3"/>
        <v>81.02063604658665</v>
      </c>
      <c r="G39" s="107">
        <f t="shared" si="0"/>
        <v>50.93893292375304</v>
      </c>
      <c r="H39" s="105">
        <f>B39-D39</f>
        <v>1064.354000000002</v>
      </c>
      <c r="I39" s="105">
        <f t="shared" si="1"/>
        <v>4376.0999999999985</v>
      </c>
      <c r="J39" s="167"/>
      <c r="K39" s="154"/>
    </row>
    <row r="40" spans="1:11" ht="19.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7"/>
      <c r="K40" s="154">
        <f>C40-B40</f>
        <v>0</v>
      </c>
    </row>
    <row r="41" spans="1:11" ht="19.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7"/>
      <c r="K41" s="154">
        <f>C41-B41</f>
        <v>0</v>
      </c>
    </row>
    <row r="42" spans="1:11" ht="19.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7"/>
      <c r="K42" s="154">
        <f>C42-B42</f>
        <v>0</v>
      </c>
    </row>
    <row r="43" spans="1:11" ht="19.5" thickBot="1">
      <c r="A43" s="12" t="s">
        <v>16</v>
      </c>
      <c r="B43" s="77">
        <v>1342.7</v>
      </c>
      <c r="C43" s="40">
        <f>1126.9+467</f>
        <v>1593.9</v>
      </c>
      <c r="D43" s="41">
        <f>63.9+1.1+0.6+70.8+0.5+48+6.7+2+13.7+10.4+20.2+0.7+37.4+27+181.7+0.2+2.1+7.5+10+0.2+3.3+24.2+12.6</f>
        <v>544.8</v>
      </c>
      <c r="E43" s="3">
        <f>D43/D154*100</f>
        <v>0.04509503356178006</v>
      </c>
      <c r="F43" s="3">
        <f>D43/B43*100</f>
        <v>40.574960899679745</v>
      </c>
      <c r="G43" s="3">
        <f t="shared" si="0"/>
        <v>34.180312441182004</v>
      </c>
      <c r="H43" s="41">
        <f t="shared" si="2"/>
        <v>797.9000000000001</v>
      </c>
      <c r="I43" s="41">
        <f t="shared" si="1"/>
        <v>1049.1000000000001</v>
      </c>
      <c r="J43" s="167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7"/>
      <c r="K44" s="154"/>
    </row>
    <row r="45" spans="1:11" ht="18.75" thickBot="1">
      <c r="A45" s="20" t="s">
        <v>44</v>
      </c>
      <c r="B45" s="39">
        <v>9036</v>
      </c>
      <c r="C45" s="40">
        <v>13576.3</v>
      </c>
      <c r="D45" s="41">
        <f>237.1+562.8+52.3+349.2+679.9+375.9+891+78.3+327.4+13.5+670.2+386.5+179.9+781.7-0.1+25.5+366.5+16.5+692.2+3.8+389.3+707.6+15.1+379.9+4.5</f>
        <v>8186.5</v>
      </c>
      <c r="E45" s="3">
        <f>D45/D154*100</f>
        <v>0.6776257199954341</v>
      </c>
      <c r="F45" s="3">
        <f>D45/B45*100</f>
        <v>90.59871624612661</v>
      </c>
      <c r="G45" s="3">
        <f aca="true" t="shared" si="5" ref="G45:G76">D45/C45*100</f>
        <v>60.29993444458358</v>
      </c>
      <c r="H45" s="41">
        <f>B45-D45</f>
        <v>849.5</v>
      </c>
      <c r="I45" s="41">
        <f aca="true" t="shared" si="6" ref="I45:I77">C45-D45</f>
        <v>5389.799999999999</v>
      </c>
      <c r="J45" s="167"/>
      <c r="K45" s="154"/>
    </row>
    <row r="46" spans="1:11" s="94" customFormat="1" ht="18">
      <c r="A46" s="103" t="s">
        <v>3</v>
      </c>
      <c r="B46" s="127">
        <v>8180.6</v>
      </c>
      <c r="C46" s="128">
        <v>12256.4</v>
      </c>
      <c r="D46" s="105">
        <f>237.1+551.8+334.1+652.5+314.7+746.1+319.2+661.7+342.8+781.7+0.2-0.1+366.5+692.2+367.7+697.1+14.1+359.1</f>
        <v>7438.5</v>
      </c>
      <c r="E46" s="107">
        <f>D46/D45*100</f>
        <v>90.86300616869237</v>
      </c>
      <c r="F46" s="107">
        <f aca="true" t="shared" si="7" ref="F46:F74">D46/B46*100</f>
        <v>90.92853824902818</v>
      </c>
      <c r="G46" s="107">
        <f t="shared" si="5"/>
        <v>60.69074116380014</v>
      </c>
      <c r="H46" s="105">
        <f aca="true" t="shared" si="8" ref="H46:H74">B46-D46</f>
        <v>742.1000000000004</v>
      </c>
      <c r="I46" s="105">
        <f t="shared" si="6"/>
        <v>4817.9</v>
      </c>
      <c r="J46" s="167"/>
      <c r="K46" s="154"/>
    </row>
    <row r="47" spans="1:11" s="94" customFormat="1" ht="18">
      <c r="A47" s="103" t="s">
        <v>2</v>
      </c>
      <c r="B47" s="127">
        <v>0.758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0.758</v>
      </c>
      <c r="I47" s="105">
        <f t="shared" si="6"/>
        <v>1.5</v>
      </c>
      <c r="J47" s="167"/>
      <c r="K47" s="154"/>
    </row>
    <row r="48" spans="1:11" s="94" customFormat="1" ht="18">
      <c r="A48" s="103" t="s">
        <v>1</v>
      </c>
      <c r="B48" s="127">
        <v>58.56</v>
      </c>
      <c r="C48" s="128">
        <v>98.9</v>
      </c>
      <c r="D48" s="105">
        <f>5.7+6.1+6.5+7.7+8.4+7+0.1</f>
        <v>41.5</v>
      </c>
      <c r="E48" s="107">
        <f>D48/D45*100</f>
        <v>0.506932144384047</v>
      </c>
      <c r="F48" s="107">
        <f t="shared" si="7"/>
        <v>70.86748633879782</v>
      </c>
      <c r="G48" s="107">
        <f t="shared" si="5"/>
        <v>41.96157735085945</v>
      </c>
      <c r="H48" s="105">
        <f t="shared" si="8"/>
        <v>17.060000000000002</v>
      </c>
      <c r="I48" s="105">
        <f t="shared" si="6"/>
        <v>57.400000000000006</v>
      </c>
      <c r="J48" s="167"/>
      <c r="K48" s="154"/>
    </row>
    <row r="49" spans="1:11" s="94" customFormat="1" ht="18">
      <c r="A49" s="103" t="s">
        <v>0</v>
      </c>
      <c r="B49" s="127">
        <v>575.3</v>
      </c>
      <c r="C49" s="128">
        <v>879.8</v>
      </c>
      <c r="D49" s="105">
        <f>7.3+51.9+12.7-0.1+54.5+131.2+49.5+2.4+7.9+11.2+178.3+0.4+4.1+0.1+0.6+1.4+0.5+0.8+4.5</f>
        <v>519.1999999999999</v>
      </c>
      <c r="E49" s="107">
        <f>D49/D45*100</f>
        <v>6.342148659378244</v>
      </c>
      <c r="F49" s="107">
        <f t="shared" si="7"/>
        <v>90.24856596558317</v>
      </c>
      <c r="G49" s="107">
        <f t="shared" si="5"/>
        <v>59.01341213912252</v>
      </c>
      <c r="H49" s="105">
        <f t="shared" si="8"/>
        <v>56.10000000000002</v>
      </c>
      <c r="I49" s="105">
        <f t="shared" si="6"/>
        <v>360.6</v>
      </c>
      <c r="J49" s="167"/>
      <c r="K49" s="154"/>
    </row>
    <row r="50" spans="1:11" s="94" customFormat="1" ht="18.75" thickBot="1">
      <c r="A50" s="103" t="s">
        <v>27</v>
      </c>
      <c r="B50" s="128">
        <f>B45-B46-B49-B48-B47</f>
        <v>220.78199999999967</v>
      </c>
      <c r="C50" s="128">
        <f>C45-C46-C49-C48-C47</f>
        <v>339.6999999999997</v>
      </c>
      <c r="D50" s="128">
        <f>D45-D46-D49-D48-D47</f>
        <v>187.30000000000007</v>
      </c>
      <c r="E50" s="107">
        <f>D50/D45*100</f>
        <v>2.2879130275453496</v>
      </c>
      <c r="F50" s="107">
        <f t="shared" si="7"/>
        <v>84.83481443233613</v>
      </c>
      <c r="G50" s="107">
        <f t="shared" si="5"/>
        <v>55.136885487194654</v>
      </c>
      <c r="H50" s="105">
        <f t="shared" si="8"/>
        <v>33.4819999999996</v>
      </c>
      <c r="I50" s="105">
        <f t="shared" si="6"/>
        <v>152.39999999999964</v>
      </c>
      <c r="J50" s="167"/>
      <c r="K50" s="154"/>
    </row>
    <row r="51" spans="1:11" ht="18.75" thickBot="1">
      <c r="A51" s="20" t="s">
        <v>4</v>
      </c>
      <c r="B51" s="39">
        <v>24788.4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</f>
        <v>19461.1</v>
      </c>
      <c r="E51" s="3">
        <f>D51/D154*100</f>
        <v>1.6108644597084394</v>
      </c>
      <c r="F51" s="3">
        <f>D51/B51*100</f>
        <v>78.50889932387729</v>
      </c>
      <c r="G51" s="3">
        <f t="shared" si="5"/>
        <v>52.3719435728241</v>
      </c>
      <c r="H51" s="41">
        <f>B51-D51</f>
        <v>5327.300000000003</v>
      </c>
      <c r="I51" s="41">
        <f t="shared" si="6"/>
        <v>17698.300000000003</v>
      </c>
      <c r="J51" s="167"/>
      <c r="K51" s="154"/>
    </row>
    <row r="52" spans="1:11" s="94" customFormat="1" ht="18">
      <c r="A52" s="103" t="s">
        <v>3</v>
      </c>
      <c r="B52" s="127">
        <v>13345</v>
      </c>
      <c r="C52" s="128">
        <v>20097.4</v>
      </c>
      <c r="D52" s="105">
        <f>632.9+34.3+767.3+737.6+710.6+649.6+792.4+1.6+643.1+825.6+650.1+947+1196.1+785.4+658.1+439+623.6+358.8</f>
        <v>11453.1</v>
      </c>
      <c r="E52" s="107">
        <f>D52/D51*100</f>
        <v>58.85124684627283</v>
      </c>
      <c r="F52" s="107">
        <f t="shared" si="7"/>
        <v>85.82315473960284</v>
      </c>
      <c r="G52" s="107">
        <f t="shared" si="5"/>
        <v>56.98796859295232</v>
      </c>
      <c r="H52" s="105">
        <f t="shared" si="8"/>
        <v>1891.8999999999996</v>
      </c>
      <c r="I52" s="105">
        <f t="shared" si="6"/>
        <v>8644.300000000001</v>
      </c>
      <c r="J52" s="167"/>
      <c r="K52" s="154"/>
    </row>
    <row r="53" spans="1:11" s="94" customFormat="1" ht="18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J53" s="167"/>
      <c r="K53" s="154"/>
    </row>
    <row r="54" spans="1:11" s="94" customFormat="1" ht="18">
      <c r="A54" s="103" t="s">
        <v>1</v>
      </c>
      <c r="B54" s="127">
        <v>626.2</v>
      </c>
      <c r="C54" s="128">
        <v>993.6</v>
      </c>
      <c r="D54" s="105">
        <f>0.2+4.2+9+4.7+9.6+6.3+43.2+2.7+18.4+3.8+23.8+5.3+12.2+43.2+26.7+3.8+22.4+0.4+59.7+30.3+3.3+19.2+7+2.9+21+4.4-0.4+4.8+2.2+3.6+32.5+6.4+7.8+23.5+0.7+4.2+10.2+2.2+1.8+2+15.6+1.8+2.2+4.1+5.9</f>
        <v>518.8</v>
      </c>
      <c r="E54" s="107">
        <f>D54/D51*100</f>
        <v>2.6658308112079996</v>
      </c>
      <c r="F54" s="107">
        <f t="shared" si="7"/>
        <v>82.84893005429575</v>
      </c>
      <c r="G54" s="107">
        <f t="shared" si="5"/>
        <v>52.21417069243156</v>
      </c>
      <c r="H54" s="105">
        <f t="shared" si="8"/>
        <v>107.40000000000009</v>
      </c>
      <c r="I54" s="105">
        <f t="shared" si="6"/>
        <v>474.80000000000007</v>
      </c>
      <c r="J54" s="167"/>
      <c r="K54" s="154"/>
    </row>
    <row r="55" spans="1:11" s="94" customFormat="1" ht="18">
      <c r="A55" s="103" t="s">
        <v>0</v>
      </c>
      <c r="B55" s="127">
        <v>669.5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0.5+1+2.8+12.3+8.3+0.5+0.4+8.7+15+0.3+1.3+64.9+33.6+8.1+0.1+94.7+0.3+9.8+7.8+0.9+1.8+16.2+18.3+3.3+0.1+11.4+0.1+11.4+1.3+76.9+6.2+11.6+2.1+2.4+24+0.1+0.5+16.3+2.5+1.1+3.8+2.1+10.3+5.8+0.4+0.3+0.3+9.3+0.2+0.6+1.1-0.2+0.5+0.1+1</f>
        <v>514.5000000000001</v>
      </c>
      <c r="E55" s="107">
        <f>D55/D51*100</f>
        <v>2.643735451747333</v>
      </c>
      <c r="F55" s="107">
        <f t="shared" si="7"/>
        <v>76.8483943241225</v>
      </c>
      <c r="G55" s="107">
        <f t="shared" si="5"/>
        <v>42.17558816296418</v>
      </c>
      <c r="H55" s="105">
        <f t="shared" si="8"/>
        <v>154.9999999999999</v>
      </c>
      <c r="I55" s="105">
        <f t="shared" si="6"/>
        <v>705.4</v>
      </c>
      <c r="J55" s="167"/>
      <c r="K55" s="154"/>
    </row>
    <row r="56" spans="1:11" s="94" customFormat="1" ht="18">
      <c r="A56" s="103" t="s">
        <v>14</v>
      </c>
      <c r="B56" s="127">
        <v>880</v>
      </c>
      <c r="C56" s="128">
        <v>1320</v>
      </c>
      <c r="D56" s="128">
        <f>110+110+110+110+110+110+110+110</f>
        <v>880</v>
      </c>
      <c r="E56" s="107">
        <f>D56/D51*100</f>
        <v>4.521841005904085</v>
      </c>
      <c r="F56" s="107">
        <f>D56/B56*100</f>
        <v>100</v>
      </c>
      <c r="G56" s="107">
        <f>D56/C56*100</f>
        <v>66.66666666666666</v>
      </c>
      <c r="H56" s="105">
        <f t="shared" si="8"/>
        <v>0</v>
      </c>
      <c r="I56" s="105">
        <f t="shared" si="6"/>
        <v>440</v>
      </c>
      <c r="J56" s="167"/>
      <c r="K56" s="154"/>
    </row>
    <row r="57" spans="1:11" s="94" customFormat="1" ht="18.75" thickBot="1">
      <c r="A57" s="103" t="s">
        <v>27</v>
      </c>
      <c r="B57" s="128">
        <f>B51-B52-B55-B54-B53-B56</f>
        <v>9267.7</v>
      </c>
      <c r="C57" s="128">
        <f>C51-C52-C55-C54-C53-C56</f>
        <v>13514.6</v>
      </c>
      <c r="D57" s="128">
        <f>D51-D52-D55-D54-D53-D56</f>
        <v>6094.699999999998</v>
      </c>
      <c r="E57" s="107">
        <f>D57/D51*100</f>
        <v>31.317345884867752</v>
      </c>
      <c r="F57" s="107">
        <f t="shared" si="7"/>
        <v>65.7628106218371</v>
      </c>
      <c r="G57" s="107">
        <f t="shared" si="5"/>
        <v>45.09715418880321</v>
      </c>
      <c r="H57" s="105">
        <f>B57-D57</f>
        <v>3173.0000000000027</v>
      </c>
      <c r="I57" s="105">
        <f>C57-D57</f>
        <v>7419.900000000002</v>
      </c>
      <c r="J57" s="167"/>
      <c r="K57" s="154"/>
    </row>
    <row r="58" spans="1:11" s="32" customFormat="1" ht="19.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69"/>
      <c r="K58" s="154">
        <f>C58-B58</f>
        <v>0</v>
      </c>
    </row>
    <row r="59" spans="1:11" ht="18.75" thickBot="1">
      <c r="A59" s="20" t="s">
        <v>6</v>
      </c>
      <c r="B59" s="39">
        <v>8243.8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87.7+79.1+87.8+43.2+40.5+47.6+13+155.9+18+2.1+84.2+29.6+0.7+0.5+5.7+85.8+109.2+19+38.3+85.7+1.2+4.7+89.8+79.1+0.4+114.1+2.5+187.7+22+17.7+67.3-3+41+50.9+0.1+2.6+120+203+53.7+50+85.8+1.8+136+93.7+2.7+167.9+8.7+0.1+42.3+44.8+283.5+103.6+69.1</f>
        <v>3178.4</v>
      </c>
      <c r="E59" s="3">
        <f>D59/D154*100</f>
        <v>0.26308747186630277</v>
      </c>
      <c r="F59" s="3">
        <f>D59/B59*100</f>
        <v>38.5550352992552</v>
      </c>
      <c r="G59" s="3">
        <f t="shared" si="5"/>
        <v>33.12006335577183</v>
      </c>
      <c r="H59" s="41">
        <f>B59-D59</f>
        <v>5065.4</v>
      </c>
      <c r="I59" s="41">
        <f t="shared" si="6"/>
        <v>6418.200000000001</v>
      </c>
      <c r="J59" s="167"/>
      <c r="K59" s="154"/>
    </row>
    <row r="60" spans="1:11" s="94" customFormat="1" ht="18">
      <c r="A60" s="103" t="s">
        <v>3</v>
      </c>
      <c r="B60" s="127">
        <v>2094.4</v>
      </c>
      <c r="C60" s="128">
        <v>3119.7</v>
      </c>
      <c r="D60" s="105">
        <f>77.7+79.1+76.9+40.5+47.3+155.9+45+29.2+85.8+95.3+38.3+30.7+89.8+79.1+80.7+178.9+50.9+35.4+119.2+73+83.9+167.9+42.3+43</f>
        <v>1845.8000000000004</v>
      </c>
      <c r="E60" s="107">
        <f>D60/D59*100</f>
        <v>58.07324439969798</v>
      </c>
      <c r="F60" s="107">
        <f t="shared" si="7"/>
        <v>88.13025210084035</v>
      </c>
      <c r="G60" s="107">
        <f t="shared" si="5"/>
        <v>59.16594544347215</v>
      </c>
      <c r="H60" s="105">
        <f t="shared" si="8"/>
        <v>248.59999999999968</v>
      </c>
      <c r="I60" s="105">
        <f t="shared" si="6"/>
        <v>1273.8999999999994</v>
      </c>
      <c r="J60" s="167"/>
      <c r="K60" s="154"/>
    </row>
    <row r="61" spans="1:11" s="94" customFormat="1" ht="18">
      <c r="A61" s="103" t="s">
        <v>1</v>
      </c>
      <c r="B61" s="127">
        <v>393.1</v>
      </c>
      <c r="C61" s="128">
        <f>360.7+32.4</f>
        <v>393.09999999999997</v>
      </c>
      <c r="D61" s="105">
        <f>127+93.7+101.3+69.1</f>
        <v>391.1</v>
      </c>
      <c r="E61" s="107">
        <f>D61/D59*100</f>
        <v>12.304933299773472</v>
      </c>
      <c r="F61" s="107">
        <f>D61/B61*100</f>
        <v>99.49122360722463</v>
      </c>
      <c r="G61" s="107">
        <f t="shared" si="5"/>
        <v>99.49122360722464</v>
      </c>
      <c r="H61" s="105">
        <f t="shared" si="8"/>
        <v>2</v>
      </c>
      <c r="I61" s="105">
        <f t="shared" si="6"/>
        <v>1.9999999999999432</v>
      </c>
      <c r="J61" s="167"/>
      <c r="K61" s="154"/>
    </row>
    <row r="62" spans="1:11" s="94" customFormat="1" ht="18">
      <c r="A62" s="103" t="s">
        <v>0</v>
      </c>
      <c r="B62" s="127">
        <v>245.6</v>
      </c>
      <c r="C62" s="128">
        <v>393.7</v>
      </c>
      <c r="D62" s="105">
        <f>10.9+43.2+13-3+39.2+5.7+50.2+3.5+0.2+29.7+2.5+1.8+22+0.1+0.7+2.1+0.1+0.1+2.2+0.1+0.1</f>
        <v>224.39999999999992</v>
      </c>
      <c r="E62" s="107">
        <f>D62/D59*100</f>
        <v>7.060156053360178</v>
      </c>
      <c r="F62" s="107">
        <f t="shared" si="7"/>
        <v>91.36807817589573</v>
      </c>
      <c r="G62" s="107">
        <f t="shared" si="5"/>
        <v>56.997713995427965</v>
      </c>
      <c r="H62" s="105">
        <f t="shared" si="8"/>
        <v>21.200000000000074</v>
      </c>
      <c r="I62" s="105">
        <f t="shared" si="6"/>
        <v>169.30000000000007</v>
      </c>
      <c r="J62" s="167"/>
      <c r="K62" s="154"/>
    </row>
    <row r="63" spans="1:11" s="94" customFormat="1" ht="18">
      <c r="A63" s="103" t="s">
        <v>14</v>
      </c>
      <c r="B63" s="127">
        <v>4866.6</v>
      </c>
      <c r="C63" s="128">
        <v>4866.6</v>
      </c>
      <c r="D63" s="105">
        <f>136+283.5</f>
        <v>419.5</v>
      </c>
      <c r="E63" s="107">
        <f>D63/D59*100</f>
        <v>13.19846463629499</v>
      </c>
      <c r="F63" s="107">
        <f t="shared" si="7"/>
        <v>8.619981095631445</v>
      </c>
      <c r="G63" s="107">
        <f t="shared" si="5"/>
        <v>8.619981095631445</v>
      </c>
      <c r="H63" s="105">
        <f t="shared" si="8"/>
        <v>4447.1</v>
      </c>
      <c r="I63" s="105">
        <f t="shared" si="6"/>
        <v>4447.1</v>
      </c>
      <c r="J63" s="167"/>
      <c r="K63" s="154"/>
    </row>
    <row r="64" spans="1:11" s="94" customFormat="1" ht="18.75" thickBot="1">
      <c r="A64" s="103" t="s">
        <v>27</v>
      </c>
      <c r="B64" s="128">
        <f>B59-B60-B62-B63-B61</f>
        <v>644.0999999999989</v>
      </c>
      <c r="C64" s="128">
        <f>C59-C60-C62-C63-C61</f>
        <v>823.5000000000005</v>
      </c>
      <c r="D64" s="128">
        <f>D59-D60-D62-D63-D61</f>
        <v>297.5999999999998</v>
      </c>
      <c r="E64" s="107">
        <f>D64/D59*100</f>
        <v>9.363201610873388</v>
      </c>
      <c r="F64" s="107">
        <f t="shared" si="7"/>
        <v>46.204005589194274</v>
      </c>
      <c r="G64" s="107">
        <f t="shared" si="5"/>
        <v>36.138433515482646</v>
      </c>
      <c r="H64" s="105">
        <f t="shared" si="8"/>
        <v>346.4999999999991</v>
      </c>
      <c r="I64" s="105">
        <f t="shared" si="6"/>
        <v>525.9000000000007</v>
      </c>
      <c r="J64" s="167"/>
      <c r="K64" s="154"/>
    </row>
    <row r="65" spans="1:11" s="32" customFormat="1" ht="19.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69"/>
      <c r="K65" s="154">
        <f>C65-B65</f>
        <v>0</v>
      </c>
    </row>
    <row r="66" spans="1:11" s="32" customFormat="1" ht="19.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69"/>
      <c r="K66" s="154">
        <f>C66-B66</f>
        <v>0</v>
      </c>
    </row>
    <row r="67" spans="1:11" s="32" customFormat="1" ht="19.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69"/>
      <c r="K67" s="154">
        <f>C67-B67</f>
        <v>0</v>
      </c>
    </row>
    <row r="68" spans="1:11" s="32" customFormat="1" ht="19.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69"/>
      <c r="K68" s="154">
        <f>C68-B68</f>
        <v>0</v>
      </c>
    </row>
    <row r="69" spans="1:11" ht="18.75" thickBot="1">
      <c r="A69" s="20" t="s">
        <v>20</v>
      </c>
      <c r="B69" s="40">
        <f>B70+B71</f>
        <v>355.20000000000005</v>
      </c>
      <c r="C69" s="40">
        <f>C70+C71</f>
        <v>438.9</v>
      </c>
      <c r="D69" s="41">
        <f>D70+D71</f>
        <v>227</v>
      </c>
      <c r="E69" s="30">
        <f>D69/D154*100</f>
        <v>0.018789597317408358</v>
      </c>
      <c r="F69" s="3">
        <f>D69/B69*100</f>
        <v>63.907657657657644</v>
      </c>
      <c r="G69" s="3">
        <f t="shared" si="5"/>
        <v>51.720209614946455</v>
      </c>
      <c r="H69" s="41">
        <f>B69-D69</f>
        <v>128.20000000000005</v>
      </c>
      <c r="I69" s="41">
        <f t="shared" si="6"/>
        <v>211.89999999999998</v>
      </c>
      <c r="J69" s="167"/>
      <c r="K69" s="154"/>
    </row>
    <row r="70" spans="1:11" s="94" customFormat="1" ht="18">
      <c r="A70" s="103" t="s">
        <v>8</v>
      </c>
      <c r="B70" s="127">
        <f>256.1+36-12-53.1</f>
        <v>227.00000000000003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99.73637961335677</v>
      </c>
      <c r="H70" s="105">
        <f t="shared" si="8"/>
        <v>0</v>
      </c>
      <c r="I70" s="105">
        <f t="shared" si="6"/>
        <v>0.5999999999999943</v>
      </c>
      <c r="J70" s="167"/>
      <c r="K70" s="154"/>
    </row>
    <row r="71" spans="1:11" s="94" customFormat="1" ht="18.75" thickBot="1">
      <c r="A71" s="103" t="s">
        <v>9</v>
      </c>
      <c r="B71" s="127">
        <v>128.2</v>
      </c>
      <c r="C71" s="128">
        <f>293.1-30-14-37.9+0.1</f>
        <v>211.3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128.2</v>
      </c>
      <c r="I71" s="105">
        <f t="shared" si="6"/>
        <v>211.3</v>
      </c>
      <c r="J71" s="167"/>
      <c r="K71" s="154"/>
    </row>
    <row r="72" spans="1:11" ht="38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7"/>
      <c r="K72" s="154"/>
    </row>
    <row r="73" spans="1:11" ht="18.7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7"/>
      <c r="K73" s="154"/>
    </row>
    <row r="74" spans="1:11" ht="18.7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7"/>
      <c r="K74" s="154"/>
    </row>
    <row r="75" spans="1:11" ht="18.7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7"/>
      <c r="K75" s="154"/>
    </row>
    <row r="76" spans="1:11" ht="19.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7"/>
      <c r="K76" s="154"/>
    </row>
    <row r="77" spans="1:11" s="32" customFormat="1" ht="19.5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169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7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7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71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71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71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71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7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7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7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7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7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7"/>
      <c r="K89" s="154"/>
    </row>
    <row r="90" spans="1:11" ht="19.5" thickBot="1">
      <c r="A90" s="12" t="s">
        <v>10</v>
      </c>
      <c r="B90" s="46">
        <v>144524.4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</f>
        <v>131179.99999999994</v>
      </c>
      <c r="E90" s="3">
        <f>D90/D154*100</f>
        <v>10.858235136993953</v>
      </c>
      <c r="F90" s="3">
        <f aca="true" t="shared" si="11" ref="F90:F96">D90/B90*100</f>
        <v>90.76668022839046</v>
      </c>
      <c r="G90" s="3">
        <f t="shared" si="9"/>
        <v>64.67207687684842</v>
      </c>
      <c r="H90" s="41">
        <f aca="true" t="shared" si="12" ref="H90:H96">B90-D90</f>
        <v>13344.400000000052</v>
      </c>
      <c r="I90" s="41">
        <f t="shared" si="10"/>
        <v>71658.70000000007</v>
      </c>
      <c r="J90" s="167"/>
      <c r="K90" s="154"/>
    </row>
    <row r="91" spans="1:11" s="94" customFormat="1" ht="21.75" customHeight="1">
      <c r="A91" s="103" t="s">
        <v>3</v>
      </c>
      <c r="B91" s="127">
        <v>135454.8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</f>
        <v>123974.40999999999</v>
      </c>
      <c r="E91" s="107">
        <f>D91/D90*100</f>
        <v>94.50709711846321</v>
      </c>
      <c r="F91" s="107">
        <f t="shared" si="11"/>
        <v>91.52456022230294</v>
      </c>
      <c r="G91" s="107">
        <f t="shared" si="9"/>
        <v>65.26573110338173</v>
      </c>
      <c r="H91" s="105">
        <f t="shared" si="12"/>
        <v>11480.39</v>
      </c>
      <c r="I91" s="105">
        <f t="shared" si="10"/>
        <v>65978.89</v>
      </c>
      <c r="K91" s="154"/>
    </row>
    <row r="92" spans="1:11" s="94" customFormat="1" ht="18">
      <c r="A92" s="103" t="s">
        <v>25</v>
      </c>
      <c r="B92" s="127">
        <v>1732.7</v>
      </c>
      <c r="C92" s="128">
        <v>2776.4</v>
      </c>
      <c r="D92" s="105">
        <f>57.2+3.4+167+1.4+0.3+83.4+86.9+53.1+5.3+4.7+17+71.3+284.2+22.2+4.8+1.6+54.8+7+38.2+1.9+190+51.9+21+0.9+36.9+5.5+20.1+0.9+46.6+43.3-17.3+22+2.1</f>
        <v>1389.6000000000001</v>
      </c>
      <c r="E92" s="107">
        <f>D92/D90*100</f>
        <v>1.0593078213142253</v>
      </c>
      <c r="F92" s="107">
        <f t="shared" si="11"/>
        <v>80.19853407975992</v>
      </c>
      <c r="G92" s="107">
        <f t="shared" si="9"/>
        <v>50.05042501080537</v>
      </c>
      <c r="H92" s="105">
        <f t="shared" si="12"/>
        <v>343.0999999999999</v>
      </c>
      <c r="I92" s="105">
        <f t="shared" si="10"/>
        <v>1386.8</v>
      </c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.75" thickBot="1">
      <c r="A94" s="103" t="s">
        <v>27</v>
      </c>
      <c r="B94" s="128">
        <f>B90-B91-B92-B93</f>
        <v>7336.900000000006</v>
      </c>
      <c r="C94" s="128">
        <f>C90-C91-C92-C93</f>
        <v>10109.000000000024</v>
      </c>
      <c r="D94" s="128">
        <f>D90-D91-D92-D93</f>
        <v>5815.9899999999525</v>
      </c>
      <c r="E94" s="107">
        <f>D94/D90*100</f>
        <v>4.433595060222561</v>
      </c>
      <c r="F94" s="107">
        <f t="shared" si="11"/>
        <v>79.27040030530534</v>
      </c>
      <c r="G94" s="107">
        <f>D94/C94*100</f>
        <v>57.53279256108358</v>
      </c>
      <c r="H94" s="105">
        <f t="shared" si="12"/>
        <v>1520.9100000000535</v>
      </c>
      <c r="I94" s="105">
        <f>C94-D94</f>
        <v>4293.010000000071</v>
      </c>
      <c r="K94" s="154"/>
    </row>
    <row r="95" spans="1:11" ht="18.75">
      <c r="A95" s="83" t="s">
        <v>12</v>
      </c>
      <c r="B95" s="92">
        <v>31892.4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</f>
        <v>24873.099999999995</v>
      </c>
      <c r="E95" s="82">
        <f>D95/D154*100</f>
        <v>2.0588349472935232</v>
      </c>
      <c r="F95" s="84">
        <f t="shared" si="11"/>
        <v>77.99068116541869</v>
      </c>
      <c r="G95" s="81">
        <f>D95/C95*100</f>
        <v>52.47655516524784</v>
      </c>
      <c r="H95" s="85">
        <f t="shared" si="12"/>
        <v>7019.300000000007</v>
      </c>
      <c r="I95" s="88">
        <f>C95-D95</f>
        <v>22525.400000000005</v>
      </c>
      <c r="J95" s="167"/>
      <c r="K95" s="154"/>
    </row>
    <row r="96" spans="1:11" s="94" customFormat="1" ht="18.75" thickBot="1">
      <c r="A96" s="130" t="s">
        <v>83</v>
      </c>
      <c r="B96" s="131">
        <v>8027</v>
      </c>
      <c r="C96" s="132">
        <v>12814.2</v>
      </c>
      <c r="D96" s="133">
        <f>194.6+1234+3.4+0.5+79.6+1026.4+0.7+86.4+939.3+4.2+87.7+624.7+8+489.4+90.3+1.9+597.9+5.5+67.2+2.1+31.9+0.2+90.5+32.4+530.2+66+90.3+454.6+5.4+212.8</f>
        <v>7058.099999999998</v>
      </c>
      <c r="E96" s="134">
        <f>D96/D95*100</f>
        <v>28.376438803365883</v>
      </c>
      <c r="F96" s="135">
        <f t="shared" si="11"/>
        <v>87.92948797807398</v>
      </c>
      <c r="G96" s="136">
        <f>D96/C96*100</f>
        <v>55.0803015404785</v>
      </c>
      <c r="H96" s="137">
        <f t="shared" si="12"/>
        <v>968.9000000000024</v>
      </c>
      <c r="I96" s="126">
        <f>C96-D96</f>
        <v>5756.100000000003</v>
      </c>
      <c r="J96" s="167"/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7"/>
      <c r="K97" s="154"/>
    </row>
    <row r="98" spans="1:11" ht="19.5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167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7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8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7"/>
      <c r="K101" s="154">
        <f t="shared" si="13"/>
        <v>0</v>
      </c>
    </row>
    <row r="102" spans="1:11" s="32" customFormat="1" ht="19.5" thickBot="1">
      <c r="A102" s="12" t="s">
        <v>11</v>
      </c>
      <c r="B102" s="91">
        <v>9826.3</v>
      </c>
      <c r="C102" s="71">
        <f>11266.5-91.2+1707.2+14.9+0.2</f>
        <v>12897.6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</f>
        <v>8280.8</v>
      </c>
      <c r="E102" s="17">
        <f>D102/D154*100</f>
        <v>0.6854312663700225</v>
      </c>
      <c r="F102" s="17">
        <f>D102/B102*100</f>
        <v>84.27180118661144</v>
      </c>
      <c r="G102" s="17">
        <f aca="true" t="shared" si="14" ref="G102:G152">D102/C102*100</f>
        <v>64.20419302816028</v>
      </c>
      <c r="H102" s="66">
        <f aca="true" t="shared" si="15" ref="H102:H108">B102-D102</f>
        <v>1545.5</v>
      </c>
      <c r="I102" s="66">
        <f aca="true" t="shared" si="16" ref="I102:I152">C102-D102</f>
        <v>4616.800000000001</v>
      </c>
      <c r="J102" s="169"/>
      <c r="K102" s="154"/>
    </row>
    <row r="103" spans="1:11" s="94" customFormat="1" ht="18.75" customHeight="1">
      <c r="A103" s="103" t="s">
        <v>3</v>
      </c>
      <c r="B103" s="119">
        <v>218.3</v>
      </c>
      <c r="C103" s="120">
        <v>363.8</v>
      </c>
      <c r="D103" s="120">
        <f>31.2+4.8+33.9+5.2+30.9+10.3+19.9</f>
        <v>136.2</v>
      </c>
      <c r="E103" s="121">
        <f>D103/D102*100</f>
        <v>1.6447686213892379</v>
      </c>
      <c r="F103" s="107">
        <f>D103/B103*100</f>
        <v>62.39120476408612</v>
      </c>
      <c r="G103" s="121">
        <f>D103/C103*100</f>
        <v>37.43815283122595</v>
      </c>
      <c r="H103" s="120">
        <f t="shared" si="15"/>
        <v>82.10000000000002</v>
      </c>
      <c r="I103" s="120">
        <f t="shared" si="16"/>
        <v>227.60000000000002</v>
      </c>
      <c r="J103" s="167"/>
      <c r="K103" s="154"/>
    </row>
    <row r="104" spans="1:11" s="94" customFormat="1" ht="18">
      <c r="A104" s="122" t="s">
        <v>48</v>
      </c>
      <c r="B104" s="104">
        <v>8247.9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</f>
        <v>7364.400000000002</v>
      </c>
      <c r="E104" s="107">
        <f>D104/D102*100</f>
        <v>88.9334363829582</v>
      </c>
      <c r="F104" s="107">
        <f aca="true" t="shared" si="17" ref="F104:F152">D104/B104*100</f>
        <v>89.28818244644094</v>
      </c>
      <c r="G104" s="107">
        <f t="shared" si="14"/>
        <v>69.77167219327335</v>
      </c>
      <c r="H104" s="105">
        <f t="shared" si="15"/>
        <v>883.4999999999973</v>
      </c>
      <c r="I104" s="105">
        <f t="shared" si="16"/>
        <v>3190.5999999999976</v>
      </c>
      <c r="J104" s="167"/>
      <c r="K104" s="154"/>
    </row>
    <row r="105" spans="1:11" s="94" customFormat="1" ht="54.7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J105" s="167"/>
      <c r="K105" s="154"/>
    </row>
    <row r="106" spans="1:11" s="94" customFormat="1" ht="18.75" thickBot="1">
      <c r="A106" s="123" t="s">
        <v>27</v>
      </c>
      <c r="B106" s="124">
        <f>B102-B103-B104</f>
        <v>1360.1000000000004</v>
      </c>
      <c r="C106" s="124">
        <f>C102-C103-C104</f>
        <v>1978.800000000001</v>
      </c>
      <c r="D106" s="124">
        <f>D102-D103-D104</f>
        <v>780.1999999999971</v>
      </c>
      <c r="E106" s="125">
        <f>D106/D102*100</f>
        <v>9.42179499565256</v>
      </c>
      <c r="F106" s="125">
        <f t="shared" si="17"/>
        <v>57.36342915962038</v>
      </c>
      <c r="G106" s="125">
        <f t="shared" si="14"/>
        <v>39.4279361229026</v>
      </c>
      <c r="H106" s="126">
        <f t="shared" si="15"/>
        <v>579.9000000000033</v>
      </c>
      <c r="I106" s="126">
        <f t="shared" si="16"/>
        <v>1198.600000000004</v>
      </c>
      <c r="J106" s="167"/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374632.3999999999</v>
      </c>
      <c r="C107" s="68">
        <f>SUM(C108:C151)-C115-C120+C152-C142-C143-C109-C112-C123-C124-C140-C133-C131-C138-C118</f>
        <v>563472.3999999999</v>
      </c>
      <c r="D107" s="68">
        <f>SUM(D108:D151)-D115-D120+D152-D142-D143-D109-D112-D123-D124-D140-D133-D131-D138-D118</f>
        <v>262429</v>
      </c>
      <c r="E107" s="69">
        <f>D107/D154*100</f>
        <v>21.722181649383955</v>
      </c>
      <c r="F107" s="69">
        <f>D107/B107*100</f>
        <v>70.04973408600004</v>
      </c>
      <c r="G107" s="69">
        <f t="shared" si="14"/>
        <v>46.57353226173989</v>
      </c>
      <c r="H107" s="68">
        <f t="shared" si="15"/>
        <v>112203.3999999999</v>
      </c>
      <c r="I107" s="68">
        <f t="shared" si="16"/>
        <v>301043.3999999999</v>
      </c>
      <c r="J107" s="165"/>
      <c r="K107" s="154"/>
      <c r="L107" s="97"/>
    </row>
    <row r="108" spans="1:12" s="94" customFormat="1" ht="37.5">
      <c r="A108" s="98" t="s">
        <v>52</v>
      </c>
      <c r="B108" s="161">
        <v>2837.6</v>
      </c>
      <c r="C108" s="158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17.1+81.1+17.3+60.5+173.3+3.4+2+0.4+29.3+1.7+177.1+0.8+38.8+139.8+0.3+1.9+1.8+6.5+136+91.3+0.1+1.8+1.1+2.4+3.5+2+3.4+72.2+73.1+42.5+21.2+13.2+0.2+17.6-34.7+31.4+109.2+11.6+31.6+1.8+1.8+136.5+26+0.7+9.8+16+6.4+2.3+33+154.5+0.1-4.6+4.8</f>
        <v>1772.8999999999994</v>
      </c>
      <c r="E108" s="100">
        <f>D108/D107*100</f>
        <v>0.6755732026567184</v>
      </c>
      <c r="F108" s="100">
        <f t="shared" si="17"/>
        <v>62.47885537073582</v>
      </c>
      <c r="G108" s="100">
        <f t="shared" si="14"/>
        <v>39.76003588248485</v>
      </c>
      <c r="H108" s="101">
        <f t="shared" si="15"/>
        <v>1064.7000000000005</v>
      </c>
      <c r="I108" s="101">
        <f t="shared" si="16"/>
        <v>2686.1000000000004</v>
      </c>
      <c r="K108" s="154"/>
      <c r="L108" s="102"/>
    </row>
    <row r="109" spans="1:12" s="94" customFormat="1" ht="18.75">
      <c r="A109" s="103" t="s">
        <v>25</v>
      </c>
      <c r="B109" s="104">
        <v>1154.9</v>
      </c>
      <c r="C109" s="105">
        <v>1995</v>
      </c>
      <c r="D109" s="106">
        <f>47.8+0.9+59.7+88.3+0.1+59.2+38.8+107.4+24+91.1+38+42.5+2+31.4+47.6+36.5-21.6</f>
        <v>693.7</v>
      </c>
      <c r="E109" s="107">
        <f>D109/D108*100</f>
        <v>39.127982401714725</v>
      </c>
      <c r="F109" s="107">
        <f t="shared" si="17"/>
        <v>60.06580656333882</v>
      </c>
      <c r="G109" s="107">
        <f t="shared" si="14"/>
        <v>34.771929824561404</v>
      </c>
      <c r="H109" s="105">
        <f aca="true" t="shared" si="18" ref="H109:H152">B109-D109</f>
        <v>461.20000000000005</v>
      </c>
      <c r="I109" s="105">
        <f t="shared" si="16"/>
        <v>1301.3</v>
      </c>
      <c r="K109" s="154"/>
      <c r="L109" s="102"/>
    </row>
    <row r="110" spans="1:12" s="94" customFormat="1" ht="34.5" customHeight="1" hidden="1">
      <c r="A110" s="108" t="s">
        <v>78</v>
      </c>
      <c r="B110" s="160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2">
        <v>140.6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140.6</v>
      </c>
      <c r="I111" s="101">
        <f t="shared" si="16"/>
        <v>200</v>
      </c>
      <c r="K111" s="154"/>
      <c r="L111" s="102"/>
    </row>
    <row r="112" spans="1:12" s="94" customFormat="1" ht="18.75" hidden="1">
      <c r="A112" s="103" t="s">
        <v>25</v>
      </c>
      <c r="B112" s="159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8.75">
      <c r="A113" s="108" t="s">
        <v>89</v>
      </c>
      <c r="B113" s="162">
        <v>56.7</v>
      </c>
      <c r="C113" s="101">
        <v>64.3</v>
      </c>
      <c r="D113" s="99">
        <f>6.8+7+3.6</f>
        <v>17.400000000000002</v>
      </c>
      <c r="E113" s="100">
        <f>D113/D107*100</f>
        <v>0.006630364784379776</v>
      </c>
      <c r="F113" s="100">
        <f t="shared" si="17"/>
        <v>30.68783068783069</v>
      </c>
      <c r="G113" s="100">
        <f t="shared" si="14"/>
        <v>27.06065318818041</v>
      </c>
      <c r="H113" s="101">
        <f t="shared" si="18"/>
        <v>39.3</v>
      </c>
      <c r="I113" s="101">
        <f t="shared" si="16"/>
        <v>46.89999999999999</v>
      </c>
      <c r="K113" s="154"/>
      <c r="L113" s="102"/>
    </row>
    <row r="114" spans="1:12" s="94" customFormat="1" ht="37.5">
      <c r="A114" s="108" t="s">
        <v>38</v>
      </c>
      <c r="B114" s="162">
        <v>2258.6</v>
      </c>
      <c r="C114" s="101">
        <v>3311.5</v>
      </c>
      <c r="D114" s="99">
        <f>136.4+10+40+6.6+6.1+0.2+177.4+10+1.8+25.1+29.4+48.1+8.1+193.1+10+0.1+17.8+8.8+132.4+79.7+12.6+4.3+3.5+212.4+8.1+0.4+10.8+218.3+5.3+16.4+166.6+54.3+12.8+52.1+1.1</f>
        <v>1720.0999999999997</v>
      </c>
      <c r="E114" s="100">
        <f>D114/D107*100</f>
        <v>0.6554534750351522</v>
      </c>
      <c r="F114" s="100">
        <f t="shared" si="17"/>
        <v>76.1577968653148</v>
      </c>
      <c r="G114" s="100">
        <f t="shared" si="14"/>
        <v>51.943228144345454</v>
      </c>
      <c r="H114" s="101">
        <f t="shared" si="18"/>
        <v>538.5000000000002</v>
      </c>
      <c r="I114" s="101">
        <f t="shared" si="16"/>
        <v>1591.4000000000003</v>
      </c>
      <c r="K114" s="154"/>
      <c r="L114" s="102"/>
    </row>
    <row r="115" spans="1:12" s="94" customFormat="1" ht="18.75" hidden="1">
      <c r="A115" s="112" t="s">
        <v>43</v>
      </c>
      <c r="B115" s="159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0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7.5">
      <c r="A117" s="108" t="s">
        <v>47</v>
      </c>
      <c r="B117" s="162">
        <v>200</v>
      </c>
      <c r="C117" s="101">
        <v>200</v>
      </c>
      <c r="D117" s="99">
        <f>15+40+1.2+1.8</f>
        <v>58</v>
      </c>
      <c r="E117" s="100">
        <f>D117/D107*100</f>
        <v>0.022101215947932584</v>
      </c>
      <c r="F117" s="100">
        <f>D117/B117*100</f>
        <v>28.999999999999996</v>
      </c>
      <c r="G117" s="100">
        <f t="shared" si="14"/>
        <v>28.999999999999996</v>
      </c>
      <c r="H117" s="101">
        <f t="shared" si="18"/>
        <v>142</v>
      </c>
      <c r="I117" s="101">
        <f t="shared" si="16"/>
        <v>142</v>
      </c>
      <c r="K117" s="154"/>
      <c r="L117" s="102"/>
    </row>
    <row r="118" spans="1:12" s="94" customFormat="1" ht="18.7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68.96551724137932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8.75">
      <c r="A119" s="108" t="s">
        <v>15</v>
      </c>
      <c r="B119" s="162">
        <v>283</v>
      </c>
      <c r="C119" s="109">
        <v>491.6</v>
      </c>
      <c r="D119" s="99">
        <f>45.4+9.9+47+6.4+0.4+0.4+45.4+0.4+2.9+45.4+4+6.8+0.4+45.4+0.1+5.8+0.8+0.4+0.8+0.7+13+0.4</f>
        <v>282.20000000000005</v>
      </c>
      <c r="E119" s="100">
        <f>D119/D107*100</f>
        <v>0.10753384725011338</v>
      </c>
      <c r="F119" s="100">
        <f t="shared" si="17"/>
        <v>99.71731448763252</v>
      </c>
      <c r="G119" s="100">
        <f t="shared" si="14"/>
        <v>57.40439381611067</v>
      </c>
      <c r="H119" s="101">
        <f t="shared" si="18"/>
        <v>0.7999999999999545</v>
      </c>
      <c r="I119" s="101">
        <f t="shared" si="16"/>
        <v>209.39999999999998</v>
      </c>
      <c r="K119" s="154"/>
      <c r="L119" s="102"/>
    </row>
    <row r="120" spans="1:12" s="115" customFormat="1" ht="18.7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80.47484053862507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8.75">
      <c r="A121" s="108" t="s">
        <v>105</v>
      </c>
      <c r="B121" s="162">
        <v>205</v>
      </c>
      <c r="C121" s="109">
        <v>317</v>
      </c>
      <c r="D121" s="99">
        <v>3.6</v>
      </c>
      <c r="E121" s="100">
        <f>D121/D107*100</f>
        <v>0.0013717996105613328</v>
      </c>
      <c r="F121" s="100">
        <f t="shared" si="17"/>
        <v>1.75609756097561</v>
      </c>
      <c r="G121" s="100">
        <f t="shared" si="14"/>
        <v>1.135646687697161</v>
      </c>
      <c r="H121" s="101">
        <f t="shared" si="18"/>
        <v>201.4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2">
        <v>480</v>
      </c>
      <c r="C122" s="109">
        <f>480+80</f>
        <v>560</v>
      </c>
      <c r="D122" s="110">
        <f>12+360.2</f>
        <v>372.2</v>
      </c>
      <c r="E122" s="113">
        <f>D122/D107*100</f>
        <v>0.14182883751414666</v>
      </c>
      <c r="F122" s="100">
        <f t="shared" si="17"/>
        <v>77.54166666666666</v>
      </c>
      <c r="G122" s="100">
        <f t="shared" si="14"/>
        <v>66.46428571428571</v>
      </c>
      <c r="H122" s="101">
        <f t="shared" si="18"/>
        <v>107.80000000000001</v>
      </c>
      <c r="I122" s="101">
        <f t="shared" si="16"/>
        <v>187.8</v>
      </c>
      <c r="J122" s="165"/>
      <c r="K122" s="154"/>
      <c r="L122" s="102"/>
    </row>
    <row r="123" spans="1:12" s="117" customFormat="1" ht="18.75" hidden="1">
      <c r="A123" s="103" t="s">
        <v>80</v>
      </c>
      <c r="B123" s="159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8.75" hidden="1">
      <c r="A124" s="103" t="s">
        <v>49</v>
      </c>
      <c r="B124" s="159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7.5">
      <c r="A125" s="108" t="s">
        <v>95</v>
      </c>
      <c r="B125" s="162">
        <f>34989.8+800</f>
        <v>35789.8</v>
      </c>
      <c r="C125" s="109">
        <v>45511.3</v>
      </c>
      <c r="D125" s="110">
        <f>3529.6+2264.3+1265.3+2996.5+533.1+738.7+2380.2+1722.3+1049.4+1874.1+1476.2+1455.5+94.4+1416+1268.6+1913.6+457.2+1108.2+2510.4+39.4+1337.2+1221+3120.4</f>
        <v>35771.600000000006</v>
      </c>
      <c r="E125" s="113">
        <f>D125/D107*100</f>
        <v>13.630963041432162</v>
      </c>
      <c r="F125" s="100">
        <f t="shared" si="17"/>
        <v>99.94914752247848</v>
      </c>
      <c r="G125" s="100">
        <f t="shared" si="14"/>
        <v>78.59938081311675</v>
      </c>
      <c r="H125" s="101">
        <f t="shared" si="18"/>
        <v>18.19999999999709</v>
      </c>
      <c r="I125" s="101">
        <f t="shared" si="16"/>
        <v>9739.699999999997</v>
      </c>
      <c r="K125" s="154"/>
      <c r="L125" s="102"/>
    </row>
    <row r="126" spans="1:12" s="114" customFormat="1" ht="18.75">
      <c r="A126" s="108" t="s">
        <v>91</v>
      </c>
      <c r="B126" s="162">
        <v>670</v>
      </c>
      <c r="C126" s="109">
        <v>700</v>
      </c>
      <c r="D126" s="110">
        <f>9.6+1.5</f>
        <v>11.1</v>
      </c>
      <c r="E126" s="113">
        <f>D126/D107*100</f>
        <v>0.004229715465897442</v>
      </c>
      <c r="F126" s="100">
        <f t="shared" si="17"/>
        <v>1.6567164179104477</v>
      </c>
      <c r="G126" s="100">
        <f t="shared" si="14"/>
        <v>1.5857142857142859</v>
      </c>
      <c r="H126" s="101">
        <f t="shared" si="18"/>
        <v>658.9</v>
      </c>
      <c r="I126" s="101">
        <f t="shared" si="16"/>
        <v>688.9</v>
      </c>
      <c r="K126" s="154"/>
      <c r="L126" s="102"/>
    </row>
    <row r="127" spans="1:12" s="114" customFormat="1" ht="37.5">
      <c r="A127" s="108" t="s">
        <v>100</v>
      </c>
      <c r="B127" s="162">
        <v>142</v>
      </c>
      <c r="C127" s="109">
        <v>200</v>
      </c>
      <c r="D127" s="110">
        <v>63.1</v>
      </c>
      <c r="E127" s="113">
        <f>D127/D107*100</f>
        <v>0.024044598729561138</v>
      </c>
      <c r="F127" s="100">
        <f t="shared" si="17"/>
        <v>44.43661971830986</v>
      </c>
      <c r="G127" s="100">
        <f t="shared" si="14"/>
        <v>31.55</v>
      </c>
      <c r="H127" s="101">
        <f t="shared" si="18"/>
        <v>78.9</v>
      </c>
      <c r="I127" s="101">
        <f t="shared" si="16"/>
        <v>136.9</v>
      </c>
      <c r="K127" s="154"/>
      <c r="L127" s="102"/>
    </row>
    <row r="128" spans="1:12" s="114" customFormat="1" ht="37.5">
      <c r="A128" s="108" t="s">
        <v>85</v>
      </c>
      <c r="B128" s="162">
        <v>111.1</v>
      </c>
      <c r="C128" s="109">
        <f>111.1</f>
        <v>111.1</v>
      </c>
      <c r="D128" s="110">
        <v>34.5</v>
      </c>
      <c r="E128" s="113">
        <f>D128/D107*100</f>
        <v>0.013146412934546105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8.75" hidden="1">
      <c r="A129" s="112" t="s">
        <v>83</v>
      </c>
      <c r="B129" s="160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7.5">
      <c r="A130" s="108" t="s">
        <v>57</v>
      </c>
      <c r="B130" s="162">
        <v>587.2</v>
      </c>
      <c r="C130" s="109">
        <v>942</v>
      </c>
      <c r="D130" s="110">
        <f>7+4.2+0.1+12.3+0.2+7.1+17.8+14.9+1.7+0.1+7.4+7+2.7+3.7+7.1+5.3+31.3+16.4+2.5+1.7+26.7+0.1+13.8+0.1+2.9+6.5+0.6+7+4.8+0.1+17.3+0.5+7.6+29.1+0.2+0.1+7.4+1+0.1+0.2</f>
        <v>276.6</v>
      </c>
      <c r="E130" s="113">
        <f>D130/D107*100</f>
        <v>0.10539993674479574</v>
      </c>
      <c r="F130" s="100">
        <f t="shared" si="17"/>
        <v>47.10490463215259</v>
      </c>
      <c r="G130" s="100">
        <f t="shared" si="14"/>
        <v>29.363057324840767</v>
      </c>
      <c r="H130" s="101">
        <f t="shared" si="18"/>
        <v>310.6</v>
      </c>
      <c r="I130" s="101">
        <f t="shared" si="16"/>
        <v>665.4</v>
      </c>
      <c r="K130" s="154"/>
      <c r="L130" s="102"/>
    </row>
    <row r="131" spans="1:12" s="115" customFormat="1" ht="18.75">
      <c r="A131" s="103" t="s">
        <v>88</v>
      </c>
      <c r="B131" s="104">
        <v>294.6</v>
      </c>
      <c r="C131" s="105">
        <v>510.8</v>
      </c>
      <c r="D131" s="106">
        <f>7+7.1+7+7.1+7+7+7.4</f>
        <v>49.6</v>
      </c>
      <c r="E131" s="107">
        <f>D131/D130*100</f>
        <v>17.932031814895154</v>
      </c>
      <c r="F131" s="107">
        <f>D131/B131*100</f>
        <v>16.836388323150032</v>
      </c>
      <c r="G131" s="107">
        <f t="shared" si="14"/>
        <v>9.71025841816758</v>
      </c>
      <c r="H131" s="105">
        <f t="shared" si="18"/>
        <v>245.00000000000003</v>
      </c>
      <c r="I131" s="105">
        <f t="shared" si="16"/>
        <v>461.2</v>
      </c>
      <c r="K131" s="154"/>
      <c r="L131" s="102"/>
    </row>
    <row r="132" spans="1:12" s="114" customFormat="1" ht="37.5">
      <c r="A132" s="108" t="s">
        <v>103</v>
      </c>
      <c r="B132" s="162">
        <v>305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305</v>
      </c>
      <c r="I132" s="101">
        <f t="shared" si="16"/>
        <v>485</v>
      </c>
      <c r="K132" s="154"/>
      <c r="L132" s="102"/>
    </row>
    <row r="133" spans="1:12" s="115" customFormat="1" ht="18.75" hidden="1">
      <c r="A133" s="112" t="s">
        <v>43</v>
      </c>
      <c r="B133" s="159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0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0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2">
        <v>245</v>
      </c>
      <c r="C136" s="109">
        <v>383.2</v>
      </c>
      <c r="D136" s="110">
        <f>2.9+1.5+9.7+8.2+0.2-0.4+16+13.6+102.3</f>
        <v>154</v>
      </c>
      <c r="E136" s="113">
        <f>D136/D107*100</f>
        <v>0.058682538896234794</v>
      </c>
      <c r="F136" s="100">
        <f t="shared" si="17"/>
        <v>62.857142857142854</v>
      </c>
      <c r="G136" s="100">
        <f t="shared" si="14"/>
        <v>40.18789144050105</v>
      </c>
      <c r="H136" s="101">
        <f t="shared" si="18"/>
        <v>91</v>
      </c>
      <c r="I136" s="101">
        <f t="shared" si="16"/>
        <v>229.2</v>
      </c>
      <c r="K136" s="154"/>
      <c r="L136" s="102"/>
    </row>
    <row r="137" spans="1:12" s="114" customFormat="1" ht="39" customHeight="1">
      <c r="A137" s="108" t="s">
        <v>54</v>
      </c>
      <c r="B137" s="162">
        <v>200</v>
      </c>
      <c r="C137" s="109">
        <v>350</v>
      </c>
      <c r="D137" s="110">
        <f>3.7+1.9+30+0.6+12.1</f>
        <v>48.300000000000004</v>
      </c>
      <c r="E137" s="113">
        <f>D137/D107*100</f>
        <v>0.01840497810836455</v>
      </c>
      <c r="F137" s="100">
        <f t="shared" si="17"/>
        <v>24.150000000000002</v>
      </c>
      <c r="G137" s="100">
        <f t="shared" si="14"/>
        <v>13.8</v>
      </c>
      <c r="H137" s="101">
        <f t="shared" si="18"/>
        <v>151.7</v>
      </c>
      <c r="I137" s="101">
        <f t="shared" si="16"/>
        <v>301.7</v>
      </c>
      <c r="K137" s="154"/>
      <c r="L137" s="102"/>
    </row>
    <row r="138" spans="1:12" s="115" customFormat="1" ht="18.75">
      <c r="A138" s="103" t="s">
        <v>88</v>
      </c>
      <c r="B138" s="104">
        <v>61.9</v>
      </c>
      <c r="C138" s="105">
        <v>110</v>
      </c>
      <c r="D138" s="106">
        <f>3.7+1.9+12.1</f>
        <v>17.7</v>
      </c>
      <c r="E138" s="107"/>
      <c r="F138" s="100">
        <f>D138/B138*100</f>
        <v>28.594507269789982</v>
      </c>
      <c r="G138" s="107">
        <f>D138/C138*100</f>
        <v>16.09090909090909</v>
      </c>
      <c r="H138" s="105">
        <f>B138-D138</f>
        <v>44.2</v>
      </c>
      <c r="I138" s="105">
        <f>C138-D138</f>
        <v>92.3</v>
      </c>
      <c r="K138" s="154"/>
      <c r="L138" s="102"/>
    </row>
    <row r="139" spans="1:12" s="114" customFormat="1" ht="32.25" customHeight="1">
      <c r="A139" s="108" t="s">
        <v>84</v>
      </c>
      <c r="B139" s="162">
        <v>420.1</v>
      </c>
      <c r="C139" s="109">
        <v>607.7</v>
      </c>
      <c r="D139" s="110">
        <f>76+0.3+41+44+1.8+16.3+2.4+30+0.6+0.2+27.4+0.2+4.5-0.2+31.4+4.5+7.9+26.6+4.5+0.5+26.6+0.3</f>
        <v>346.80000000000007</v>
      </c>
      <c r="E139" s="113">
        <f>D139/D107*100</f>
        <v>0.13215002915074175</v>
      </c>
      <c r="F139" s="100">
        <f>D139/B139*100</f>
        <v>82.55177338728875</v>
      </c>
      <c r="G139" s="100">
        <f>D139/C139*100</f>
        <v>57.06763205529045</v>
      </c>
      <c r="H139" s="101">
        <f t="shared" si="18"/>
        <v>73.29999999999995</v>
      </c>
      <c r="I139" s="101">
        <f t="shared" si="16"/>
        <v>260.9</v>
      </c>
      <c r="K139" s="154"/>
      <c r="L139" s="102"/>
    </row>
    <row r="140" spans="1:12" s="115" customFormat="1" ht="18.75">
      <c r="A140" s="103" t="s">
        <v>25</v>
      </c>
      <c r="B140" s="104">
        <v>339.4</v>
      </c>
      <c r="C140" s="105">
        <v>489.6</v>
      </c>
      <c r="D140" s="106">
        <f>76+37.6+44+1.2+0.7+30+27.4+30.6+0.6+26+0.5+26</f>
        <v>300.59999999999997</v>
      </c>
      <c r="E140" s="107">
        <f>D140/D139*100</f>
        <v>86.6782006920415</v>
      </c>
      <c r="F140" s="107">
        <f t="shared" si="17"/>
        <v>88.56806128461992</v>
      </c>
      <c r="G140" s="107">
        <f>D140/C140*100</f>
        <v>61.397058823529406</v>
      </c>
      <c r="H140" s="105">
        <f t="shared" si="18"/>
        <v>38.80000000000001</v>
      </c>
      <c r="I140" s="105">
        <f t="shared" si="16"/>
        <v>189.00000000000006</v>
      </c>
      <c r="K140" s="154"/>
      <c r="L140" s="102"/>
    </row>
    <row r="141" spans="1:12" s="114" customFormat="1" ht="18.75">
      <c r="A141" s="108" t="s">
        <v>96</v>
      </c>
      <c r="B141" s="162">
        <v>1234.3</v>
      </c>
      <c r="C141" s="109">
        <v>1760</v>
      </c>
      <c r="D141" s="110">
        <f>107.3+0.4+30.4+78.2+4.1+36.9+117.9+50.5+112.6+5.2+52.3+10.5+76.8-0.2+10.4+82.9+84+50.5+35.7+3.4+90.4+1.3+74.9</f>
        <v>1116.4</v>
      </c>
      <c r="E141" s="113">
        <f>D141/D107*100</f>
        <v>0.42541030145296443</v>
      </c>
      <c r="F141" s="100">
        <f t="shared" si="17"/>
        <v>90.44802722190717</v>
      </c>
      <c r="G141" s="100">
        <f t="shared" si="14"/>
        <v>63.43181818181819</v>
      </c>
      <c r="H141" s="101">
        <f t="shared" si="18"/>
        <v>117.89999999999986</v>
      </c>
      <c r="I141" s="101">
        <f t="shared" si="16"/>
        <v>643.5999999999999</v>
      </c>
      <c r="J141" s="165"/>
      <c r="K141" s="154"/>
      <c r="L141" s="102"/>
    </row>
    <row r="142" spans="1:12" s="115" customFormat="1" ht="18.75">
      <c r="A142" s="112" t="s">
        <v>43</v>
      </c>
      <c r="B142" s="104">
        <v>998.5</v>
      </c>
      <c r="C142" s="105">
        <v>1437.4</v>
      </c>
      <c r="D142" s="106">
        <f>107.3+25.4+76+34+76.6+47.2+83.8+4.5+35.4+76.8-0.2+60.7+81+50.4+90.4+52.9</f>
        <v>902.1999999999998</v>
      </c>
      <c r="E142" s="107">
        <f>D142/D141*100</f>
        <v>80.81332855607307</v>
      </c>
      <c r="F142" s="107">
        <f aca="true" t="shared" si="19" ref="F142:F151">D142/B142*100</f>
        <v>90.35553329994991</v>
      </c>
      <c r="G142" s="107">
        <f t="shared" si="14"/>
        <v>62.76610546820647</v>
      </c>
      <c r="H142" s="105">
        <f t="shared" si="18"/>
        <v>96.30000000000018</v>
      </c>
      <c r="I142" s="105">
        <f t="shared" si="16"/>
        <v>535.2000000000003</v>
      </c>
      <c r="J142" s="166"/>
      <c r="K142" s="154"/>
      <c r="L142" s="102"/>
    </row>
    <row r="143" spans="1:13" s="115" customFormat="1" ht="18.75">
      <c r="A143" s="103" t="s">
        <v>25</v>
      </c>
      <c r="B143" s="104">
        <v>28.2</v>
      </c>
      <c r="C143" s="105">
        <v>40</v>
      </c>
      <c r="D143" s="106">
        <f>0.4+4.9+0.7+4.7+3.3+0.4+0.7+0.6+0.1+0.1</f>
        <v>15.899999999999999</v>
      </c>
      <c r="E143" s="107">
        <f>D143/D141*100</f>
        <v>1.4242207094231456</v>
      </c>
      <c r="F143" s="107">
        <f t="shared" si="19"/>
        <v>56.38297872340425</v>
      </c>
      <c r="G143" s="107">
        <f>D143/C143*100</f>
        <v>39.75</v>
      </c>
      <c r="H143" s="105">
        <f t="shared" si="18"/>
        <v>12.3</v>
      </c>
      <c r="I143" s="105">
        <f t="shared" si="16"/>
        <v>24.1</v>
      </c>
      <c r="J143" s="166"/>
      <c r="K143" s="154"/>
      <c r="L143" s="102"/>
      <c r="M143" s="155"/>
    </row>
    <row r="144" spans="1:12" s="114" customFormat="1" ht="33.75" customHeight="1">
      <c r="A144" s="118" t="s">
        <v>56</v>
      </c>
      <c r="B144" s="162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0.2036741366236201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J144" s="165"/>
      <c r="K144" s="154"/>
      <c r="L144" s="102"/>
    </row>
    <row r="145" spans="1:12" s="114" customFormat="1" ht="18.75" hidden="1">
      <c r="A145" s="118" t="s">
        <v>92</v>
      </c>
      <c r="B145" s="160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65"/>
      <c r="K145" s="154"/>
      <c r="L145" s="102"/>
    </row>
    <row r="146" spans="1:12" s="114" customFormat="1" ht="18.75">
      <c r="A146" s="118" t="s">
        <v>97</v>
      </c>
      <c r="B146" s="162">
        <f>37434.2+5671.6</f>
        <v>43105.799999999996</v>
      </c>
      <c r="C146" s="109">
        <f>56447.1-100+1500-3000+10865.4+0.1</f>
        <v>65712.6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</f>
        <v>37277.200000000004</v>
      </c>
      <c r="E146" s="113">
        <f>D146/D107*100</f>
        <v>14.204680123004701</v>
      </c>
      <c r="F146" s="100">
        <f t="shared" si="19"/>
        <v>86.47838573927409</v>
      </c>
      <c r="G146" s="100">
        <f t="shared" si="14"/>
        <v>56.72762910005083</v>
      </c>
      <c r="H146" s="101">
        <f t="shared" si="18"/>
        <v>5828.599999999991</v>
      </c>
      <c r="I146" s="101">
        <f t="shared" si="16"/>
        <v>28435.4</v>
      </c>
      <c r="J146" s="165"/>
      <c r="K146" s="154"/>
      <c r="L146" s="102"/>
    </row>
    <row r="147" spans="1:12" s="114" customFormat="1" ht="18.75" hidden="1">
      <c r="A147" s="118" t="s">
        <v>86</v>
      </c>
      <c r="B147" s="160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J147" s="165"/>
      <c r="K147" s="154"/>
      <c r="L147" s="102"/>
    </row>
    <row r="148" spans="1:12" s="114" customFormat="1" ht="37.5" hidden="1">
      <c r="A148" s="118" t="s">
        <v>104</v>
      </c>
      <c r="B148" s="160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J148" s="165"/>
      <c r="K148" s="154"/>
      <c r="L148" s="102"/>
    </row>
    <row r="149" spans="1:12" s="114" customFormat="1" ht="18.75">
      <c r="A149" s="108" t="s">
        <v>98</v>
      </c>
      <c r="B149" s="162">
        <v>89.4</v>
      </c>
      <c r="C149" s="109">
        <v>162.3</v>
      </c>
      <c r="D149" s="110">
        <f>46.4+43</f>
        <v>89.4</v>
      </c>
      <c r="E149" s="113">
        <f>D149/D107*100</f>
        <v>0.03406635699560644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J149" s="165"/>
      <c r="K149" s="154"/>
      <c r="L149" s="102"/>
    </row>
    <row r="150" spans="1:12" s="114" customFormat="1" ht="18" customHeight="1">
      <c r="A150" s="108" t="s">
        <v>77</v>
      </c>
      <c r="B150" s="162">
        <v>8262.7</v>
      </c>
      <c r="C150" s="109">
        <f>10563.8+657.7</f>
        <v>11221.5</v>
      </c>
      <c r="D150" s="110">
        <f>791.9+575.3+777.6+830.9+722.1+47.7+657.7+821-47.6+744.9+750.8</f>
        <v>6672.299999999999</v>
      </c>
      <c r="E150" s="113">
        <f>D150/D107*100</f>
        <v>2.5425162615412167</v>
      </c>
      <c r="F150" s="100">
        <f t="shared" si="19"/>
        <v>80.75205441320632</v>
      </c>
      <c r="G150" s="100">
        <f t="shared" si="14"/>
        <v>59.45996524528806</v>
      </c>
      <c r="H150" s="101">
        <f t="shared" si="18"/>
        <v>1590.4000000000015</v>
      </c>
      <c r="I150" s="101">
        <f t="shared" si="16"/>
        <v>4549.200000000001</v>
      </c>
      <c r="J150" s="165"/>
      <c r="K150" s="154"/>
      <c r="L150" s="102"/>
    </row>
    <row r="151" spans="1:12" s="114" customFormat="1" ht="19.5" customHeight="1">
      <c r="A151" s="148" t="s">
        <v>50</v>
      </c>
      <c r="B151" s="164">
        <f>254700.8-6471.6</f>
        <v>248229.19999999998</v>
      </c>
      <c r="C151" s="149">
        <f>350771.5+40351.1-7680.5+12-588.3</f>
        <v>382865.8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</f>
        <v>148825.1</v>
      </c>
      <c r="E151" s="151">
        <f>D151/D107*100</f>
        <v>56.710615061597615</v>
      </c>
      <c r="F151" s="152">
        <f t="shared" si="19"/>
        <v>59.95471121044583</v>
      </c>
      <c r="G151" s="152">
        <f t="shared" si="14"/>
        <v>38.871348655325185</v>
      </c>
      <c r="H151" s="153">
        <f t="shared" si="18"/>
        <v>99404.09999999998</v>
      </c>
      <c r="I151" s="153">
        <f>C151-D151</f>
        <v>234040.69999999998</v>
      </c>
      <c r="K151" s="154"/>
      <c r="L151" s="102"/>
    </row>
    <row r="152" spans="1:12" s="114" customFormat="1" ht="18.75">
      <c r="A152" s="108" t="s">
        <v>99</v>
      </c>
      <c r="B152" s="162">
        <v>28154.8</v>
      </c>
      <c r="C152" s="109">
        <v>42232</v>
      </c>
      <c r="D152" s="110">
        <f>819+819+819.1+1062.3+1173.1+1173.1+1173.2+1173.1+1173.1+1173.2+1173.1+1173.1+1173.2+1173.1+1173.1+1173.1+1173.1+1173.1+1173.1+1173.1+1173.1+1173.1+1173.1+1173.1</f>
        <v>26981.69999999999</v>
      </c>
      <c r="E152" s="113">
        <f>D152/D107*100</f>
        <v>10.281523764522973</v>
      </c>
      <c r="F152" s="100">
        <f t="shared" si="17"/>
        <v>95.83339252987054</v>
      </c>
      <c r="G152" s="100">
        <f t="shared" si="14"/>
        <v>63.88923091494599</v>
      </c>
      <c r="H152" s="101">
        <f t="shared" si="18"/>
        <v>1173.1000000000095</v>
      </c>
      <c r="I152" s="101">
        <f t="shared" si="16"/>
        <v>15250.30000000001</v>
      </c>
      <c r="K152" s="154"/>
      <c r="L152" s="102"/>
    </row>
    <row r="153" spans="1:12" s="2" customFormat="1" ht="19.5" thickBot="1">
      <c r="A153" s="29" t="s">
        <v>29</v>
      </c>
      <c r="B153" s="163"/>
      <c r="C153" s="64"/>
      <c r="D153" s="45">
        <f>D43+D69+D72+D77+D79+D87+D102+D107+D100+D84+D98</f>
        <v>271481.6</v>
      </c>
      <c r="E153" s="15"/>
      <c r="F153" s="15"/>
      <c r="G153" s="6"/>
      <c r="H153" s="53"/>
      <c r="I153" s="45"/>
      <c r="K153" s="154"/>
      <c r="L153" s="33"/>
    </row>
    <row r="154" spans="1:12" ht="19.5" thickBot="1">
      <c r="A154" s="12" t="s">
        <v>18</v>
      </c>
      <c r="B154" s="41">
        <f>B6+B18+B33+B43+B51+B59+B69+B72+B77+B79+B87+B90+B95+B102+B107+B100+B84+B98+B45</f>
        <v>1441017.9</v>
      </c>
      <c r="C154" s="41">
        <f>C6+C18+C33+C43+C51+C59+C69+C72+C77+C79+C87+C90+C95+C102+C107+C100+C84+C98+C45</f>
        <v>2166335.3999999994</v>
      </c>
      <c r="D154" s="41">
        <f>D6+D18+D33+D43+D51+D59+D69+D72+D77+D79+D87+D90+D95+D102+D107+D100+D84+D98+D45</f>
        <v>1208115.3000000003</v>
      </c>
      <c r="E154" s="28">
        <v>100</v>
      </c>
      <c r="F154" s="3">
        <f>D154/B154*100</f>
        <v>83.83763310643126</v>
      </c>
      <c r="G154" s="3">
        <f aca="true" t="shared" si="20" ref="G154:G160">D154/C154*100</f>
        <v>55.76769414376004</v>
      </c>
      <c r="H154" s="41">
        <f aca="true" t="shared" si="21" ref="H154:H160">B154-D154</f>
        <v>232902.59999999963</v>
      </c>
      <c r="I154" s="41">
        <f aca="true" t="shared" si="22" ref="I154:I160">C154-D154</f>
        <v>958220.0999999992</v>
      </c>
      <c r="K154" s="182"/>
      <c r="L154" s="34"/>
    </row>
    <row r="155" spans="1:12" ht="18.75">
      <c r="A155" s="16" t="s">
        <v>5</v>
      </c>
      <c r="B155" s="52">
        <f>B8+B20+B34+B52+B60+B91+B115+B120+B46+B142+B133+B103</f>
        <v>609390.8</v>
      </c>
      <c r="C155" s="52">
        <f>C8+C20+C34+C52+C60+C91+C115+C120+C46+C142+C133+C103</f>
        <v>896180.8</v>
      </c>
      <c r="D155" s="52">
        <f>D8+D20+D34+D52+D60+D91+D115+D120+D46+D142+D133+D103</f>
        <v>553980.41</v>
      </c>
      <c r="E155" s="6">
        <f>D155/D154*100</f>
        <v>45.85492874728098</v>
      </c>
      <c r="F155" s="6">
        <f aca="true" t="shared" si="23" ref="F155:F160">D155/B155*100</f>
        <v>90.90724868179828</v>
      </c>
      <c r="G155" s="6">
        <f t="shared" si="20"/>
        <v>61.815697234308075</v>
      </c>
      <c r="H155" s="53">
        <f t="shared" si="21"/>
        <v>55410.390000000014</v>
      </c>
      <c r="I155" s="63">
        <f t="shared" si="22"/>
        <v>342200.39</v>
      </c>
      <c r="K155" s="154"/>
      <c r="L155" s="34"/>
    </row>
    <row r="156" spans="1:12" ht="18.75">
      <c r="A156" s="16" t="s">
        <v>0</v>
      </c>
      <c r="B156" s="53">
        <f>B11+B23+B36+B55+B62+B92+B49+B143+B109+B112+B96+B140+B129</f>
        <v>67664.69999999998</v>
      </c>
      <c r="C156" s="53">
        <f>C11+C23+C36+C55+C62+C92+C49+C143+C109+C112+C96+C140+C129</f>
        <v>110563.99999999999</v>
      </c>
      <c r="D156" s="53">
        <f>D11+D23+D36+D55+D62+D92+D49+D143+D109+D112+D96+D140+D129</f>
        <v>64175.299999999974</v>
      </c>
      <c r="E156" s="6">
        <f>D156/D154*100</f>
        <v>5.312017818166855</v>
      </c>
      <c r="F156" s="6">
        <f t="shared" si="23"/>
        <v>94.84310135122152</v>
      </c>
      <c r="G156" s="6">
        <f t="shared" si="20"/>
        <v>58.04357657103576</v>
      </c>
      <c r="H156" s="53">
        <f>B156-D156</f>
        <v>3489.4000000000087</v>
      </c>
      <c r="I156" s="63">
        <f t="shared" si="22"/>
        <v>46388.70000000001</v>
      </c>
      <c r="K156" s="154"/>
      <c r="L156" s="70"/>
    </row>
    <row r="157" spans="1:12" ht="18.75">
      <c r="A157" s="16" t="s">
        <v>1</v>
      </c>
      <c r="B157" s="52">
        <f>B22+B10+B54+B48+B61+B35+B124</f>
        <v>28194.906000000003</v>
      </c>
      <c r="C157" s="52">
        <f>C22+C10+C54+C48+C61+C35+C124</f>
        <v>45948.3</v>
      </c>
      <c r="D157" s="52">
        <f>D22+D10+D54+D48+D61+D35+D124</f>
        <v>19885.899999999994</v>
      </c>
      <c r="E157" s="6">
        <f>D157/D154*100</f>
        <v>1.646026666494497</v>
      </c>
      <c r="F157" s="6">
        <f t="shared" si="23"/>
        <v>70.53011632668678</v>
      </c>
      <c r="G157" s="6">
        <f t="shared" si="20"/>
        <v>43.27885906551492</v>
      </c>
      <c r="H157" s="53">
        <f t="shared" si="21"/>
        <v>8309.006000000008</v>
      </c>
      <c r="I157" s="63">
        <f t="shared" si="22"/>
        <v>26062.40000000001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22512.600000000002</v>
      </c>
      <c r="C158" s="52">
        <f>C12+C24+C104+C63+C38+C93+C131+C56+C138+C118</f>
        <v>30229.899999999998</v>
      </c>
      <c r="D158" s="52">
        <f>D12+D24+D104+D63+D38+D93+D131+D56+D138+D118</f>
        <v>16383.500000000004</v>
      </c>
      <c r="E158" s="6">
        <f>D158/D154*100</f>
        <v>1.356120562333744</v>
      </c>
      <c r="F158" s="6">
        <f t="shared" si="23"/>
        <v>72.77480166662225</v>
      </c>
      <c r="G158" s="6">
        <f t="shared" si="20"/>
        <v>54.19634203222638</v>
      </c>
      <c r="H158" s="53">
        <f>B158-D158</f>
        <v>6129.0999999999985</v>
      </c>
      <c r="I158" s="63">
        <f t="shared" si="22"/>
        <v>13846.399999999994</v>
      </c>
      <c r="K158" s="154"/>
      <c r="L158" s="70"/>
    </row>
    <row r="159" spans="1:12" ht="18.75">
      <c r="A159" s="16" t="s">
        <v>2</v>
      </c>
      <c r="B159" s="52">
        <f>B9+B21+B47+B53+B123</f>
        <v>31.558</v>
      </c>
      <c r="C159" s="52">
        <f>C9+C21+C47+C53+C123</f>
        <v>113.10000000000001</v>
      </c>
      <c r="D159" s="52">
        <f>D9+D21+D47+D53+D123</f>
        <v>21.3</v>
      </c>
      <c r="E159" s="6">
        <f>D159/D154*100</f>
        <v>0.0017630767526907402</v>
      </c>
      <c r="F159" s="6">
        <f t="shared" si="23"/>
        <v>67.49477153178275</v>
      </c>
      <c r="G159" s="6">
        <f t="shared" si="20"/>
        <v>18.83289124668435</v>
      </c>
      <c r="H159" s="53">
        <f t="shared" si="21"/>
        <v>10.258</v>
      </c>
      <c r="I159" s="63">
        <f t="shared" si="22"/>
        <v>91.80000000000001</v>
      </c>
      <c r="K159" s="154"/>
      <c r="L159" s="34"/>
    </row>
    <row r="160" spans="1:12" ht="19.5" thickBot="1">
      <c r="A160" s="89" t="s">
        <v>27</v>
      </c>
      <c r="B160" s="65">
        <f>B154-B155-B156-B157-B158-B159</f>
        <v>713223.336</v>
      </c>
      <c r="C160" s="65">
        <f>C154-C155-C156-C157-C158-C159</f>
        <v>1083299.2999999993</v>
      </c>
      <c r="D160" s="65">
        <f>D154-D155-D156-D157-D158-D159</f>
        <v>553668.8900000002</v>
      </c>
      <c r="E160" s="31">
        <f>D160/D154*100</f>
        <v>45.829143128971225</v>
      </c>
      <c r="F160" s="31">
        <f t="shared" si="23"/>
        <v>77.62910466519007</v>
      </c>
      <c r="G160" s="31">
        <f t="shared" si="20"/>
        <v>51.109503163160966</v>
      </c>
      <c r="H160" s="90">
        <f t="shared" si="21"/>
        <v>159554.44599999976</v>
      </c>
      <c r="I160" s="90">
        <f t="shared" si="22"/>
        <v>529630.4099999991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6"/>
      <c r="C166" s="157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1208115.3000000003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1208115.3000000003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2018-08-10T09:57:26Z</cp:lastPrinted>
  <dcterms:created xsi:type="dcterms:W3CDTF">2000-06-20T04:48:00Z</dcterms:created>
  <dcterms:modified xsi:type="dcterms:W3CDTF">2018-08-22T05:20:26Z</dcterms:modified>
  <cp:category/>
  <cp:version/>
  <cp:contentType/>
  <cp:contentStatus/>
</cp:coreProperties>
</file>